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 и заказ" sheetId="1" r:id="rId4"/>
    <sheet name="Ваш заказ" sheetId="2" r:id="rId5"/>
    <sheet name="_1С" sheetId="3" state="veryHidden" r:id="rId6"/>
  </sheets>
  <definedNames>
    <definedName name="_xlnm.Print_Titles" localSheetId="0">'Прайс и заказ'!$6:$6</definedName>
    <definedName name="_xlnm.Print_Titles" localSheetId="1">'Ваш заказ'!$8:$8</definedName>
    <definedName name="_xlnm.Print_Area" localSheetId="1">'Ваш заказ'!$A$1:$I$53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<sst xmlns="http://schemas.openxmlformats.org/spreadsheetml/2006/main" uniqueCount="343">
  <si>
    <t xml:space="preserve">   ·   Прайс-лист «Декор и аксессуары — Декор и аксессуары» · 01.10.2026</t>
  </si>
  <si>
    <t>Компания</t>
  </si>
  <si>
    <t>Контактное лицо</t>
  </si>
  <si>
    <t>Телефон</t>
  </si>
  <si>
    <t>Город</t>
  </si>
  <si>
    <t>Комментарий</t>
  </si>
  <si>
    <t>Дата прайса</t>
  </si>
  <si>
    <t>01.10.2026 20:34</t>
  </si>
  <si>
    <t>Категория</t>
  </si>
  <si>
    <t>Декор и аксессуары — Декор и аксессуары</t>
  </si>
  <si>
    <t>Источник</t>
  </si>
  <si>
    <t>https://www.lavrpack.ru</t>
  </si>
  <si>
    <t>Поиск по прайсу</t>
  </si>
  <si>
    <t>Заполните колонку «Заказать» — выбранные позиции сами соберутся на листе «Ваш заказ».
LavrPack · +7 (8482) 63-53-54 · 8 (800) 444-26-45 · www.lavrpack.ru</t>
  </si>
  <si>
    <t>Фото</t>
  </si>
  <si>
    <t>Артикул</t>
  </si>
  <si>
    <t>Товар</t>
  </si>
  <si>
    <t>Цвет / вариант</t>
  </si>
  <si>
    <t>Размер / характеристика</t>
  </si>
  <si>
    <t>Ед.</t>
  </si>
  <si>
    <t>В коробке</t>
  </si>
  <si>
    <t>Опт, с НДС</t>
  </si>
  <si>
    <t>В наличии</t>
  </si>
  <si>
    <t>Заказать</t>
  </si>
  <si>
    <t>Сумма</t>
  </si>
  <si>
    <t>Декор и аксессуары — 66 поз.</t>
  </si>
  <si>
    <t>6cfa28ca-7f2e-11ec-b73f-0018e40a3af2</t>
  </si>
  <si>
    <t>13907</t>
  </si>
  <si>
    <t>Бусинки</t>
  </si>
  <si>
    <t>ассорти) Россия</t>
  </si>
  <si>
    <t>Жемчужинка 8мм (144шт</t>
  </si>
  <si>
    <t>https://www.lavrpack.ru/local/templates/phoenix_v1/images_cache/thumbs/e2c1f9f3786c9f2823a809e2c034259d.webp?v=1790831953</t>
  </si>
  <si>
    <t>6e2151c5-7f2a-11ec-b73f-0018e40a3af2</t>
  </si>
  <si>
    <t>11936</t>
  </si>
  <si>
    <t>Россия</t>
  </si>
  <si>
    <t>На нити 8 мм в ассорт</t>
  </si>
  <si>
    <t>https://www.lavrpack.ru/local/templates/phoenix_v1/images_cache/thumbs/248af990ecf11186b17063b9966225f0.webp?v=1790831953</t>
  </si>
  <si>
    <t>61ebc4f3-7f2a-11ec-b73f-0018e40a3af2</t>
  </si>
  <si>
    <t>10369</t>
  </si>
  <si>
    <t>На нити 12 мм в ассорт</t>
  </si>
  <si>
    <t>https://www.lavrpack.ru/local/templates/phoenix_v1/images_cache/thumbs/5242b7ce3d37fee38751355404833ed6.webp?v=1790831953</t>
  </si>
  <si>
    <t>7a5e70c0-7f2a-11ec-b73f-0018e40a3af2</t>
  </si>
  <si>
    <t>13357</t>
  </si>
  <si>
    <t>Перламутр. цветн. 18мм×500г</t>
  </si>
  <si>
    <t>https://www.lavrpack.ru/local/templates/phoenix_v1/images_cache/thumbs/1c9548453c7b5df601168e7bddbccac8.webp?v=1790831953</t>
  </si>
  <si>
    <t>55d9636e-7f2a-11ec-b73f-0018e40a3af2</t>
  </si>
  <si>
    <t>8800</t>
  </si>
  <si>
    <t>Перламутровые цвет. 25мм×100г</t>
  </si>
  <si>
    <t>https://www.lavrpack.ru/local/templates/phoenix_v1/images_cache/thumbs/badf86b54fb0b0549cb71f73dd7f73d4.webp?v=1790831953</t>
  </si>
  <si>
    <t>6e2151cb-7f2a-11ec-b73f-0018e40a3af2</t>
  </si>
  <si>
    <t>13959</t>
  </si>
  <si>
    <t>Перламутровые цветн. 8мм×500г</t>
  </si>
  <si>
    <t>https://www.lavrpack.ru/local/templates/phoenix_v1/images_cache/thumbs/4da859abee2d1eb6635604159c1f44ab.webp?v=1790790837</t>
  </si>
  <si>
    <t>5be8d72f-7f2a-11ec-b73f-0018e40a3af2</t>
  </si>
  <si>
    <t>10371</t>
  </si>
  <si>
    <t>Бусы</t>
  </si>
  <si>
    <t>в ассорт. 10мм 500 гр</t>
  </si>
  <si>
    <t>https://www.lavrpack.ru/local/templates/phoenix_v1/images_cache/thumbs/be56f9685031fd2ba8ee6eb70bb5edc8.webp?v=1790831953</t>
  </si>
  <si>
    <t>61ebc4ef-7f2a-11ec-b73f-0018e40a3af2</t>
  </si>
  <si>
    <t>10372</t>
  </si>
  <si>
    <t>Перламутр. цветные 22 мм 500 гр</t>
  </si>
  <si>
    <t>https://www.lavrpack.ru/local/templates/phoenix_v1/images_cache/thumbs/a71f2ba4d37ebd490c3d1d5aa90d412b.webp?v=1790831953</t>
  </si>
  <si>
    <t>5be8d735-7f2a-11ec-b73f-0018e40a3af2</t>
  </si>
  <si>
    <t>10373</t>
  </si>
  <si>
    <t>Перламутровые цветн.6мм 500 гр</t>
  </si>
  <si>
    <t>https://www.lavrpack.ru/local/templates/phoenix_v1/images_cache/thumbs/5dde773cfffedbec6fe6f688fd5a44b9.webp?v=1790831953</t>
  </si>
  <si>
    <t>6e2151be-7f2a-11ec-b73f-0018e40a3af2</t>
  </si>
  <si>
    <t>10370</t>
  </si>
  <si>
    <t>Перламутровые цветн.12мм 100 гр</t>
  </si>
  <si>
    <t>https://www.lavrpack.ru/local/templates/phoenix_v1/images_cache/thumbs/4047753704df326ec9e6ce837abbc672.webp?v=1790790837</t>
  </si>
  <si>
    <t>55d9637d-7f2a-11ec-b73f-0018e40a3af2</t>
  </si>
  <si>
    <t>8798</t>
  </si>
  <si>
    <t>Бусы (акрил)</t>
  </si>
  <si>
    <t>70г. в ассорт. , Россия</t>
  </si>
  <si>
    <t>22 мм,</t>
  </si>
  <si>
    <t>https://www.lavrpack.ru/local/templates/phoenix_v1/images_cache/thumbs/4c289c067524d9f34c03c7faecaaa803.webp?v=1790831953</t>
  </si>
  <si>
    <t>bd3bbb31-7f2a-11ec-b73f-0018e40a3af2</t>
  </si>
  <si>
    <t>32866</t>
  </si>
  <si>
    <t>Бутылочка</t>
  </si>
  <si>
    <t>Украшение для новорожденных, Китай</t>
  </si>
  <si>
    <t>https://www.lavrpack.ru/local/templates/phoenix_v1/images_cache/thumbs/153d9ff90a706fe6ee8fbc3b92e9baa7.webp?v=1790831953</t>
  </si>
  <si>
    <t>b0f1edc9-7f2a-11ec-b73f-0018e40a3af2</t>
  </si>
  <si>
    <t>32444</t>
  </si>
  <si>
    <t>Глазки</t>
  </si>
  <si>
    <t>Китай</t>
  </si>
  <si>
    <t>9Е193-102</t>
  </si>
  <si>
    <t>https://www.lavrpack.ru/local/templates/phoenix_v1/images_cache/thumbs/8fcb41519971c6b56e2f4b5f93e3e800.webp?v=1790831953</t>
  </si>
  <si>
    <t>8cbe6a17-7f2a-11ec-b73f-0018e40a3af2</t>
  </si>
  <si>
    <t>32448</t>
  </si>
  <si>
    <t>А1-95</t>
  </si>
  <si>
    <t>https://www.lavrpack.ru/local/templates/phoenix_v1/images_cache/thumbs/794635f5badd302f8c5a2efc954c9bd7.webp?v=1790831953</t>
  </si>
  <si>
    <t>9ed808d0-7f2a-11ec-b73f-0018e40a3af2</t>
  </si>
  <si>
    <t>32445</t>
  </si>
  <si>
    <t>А5-09/Т1-09</t>
  </si>
  <si>
    <t>https://www.lavrpack.ru/local/templates/phoenix_v1/images_cache/thumbs/f8dd88c0e1b4da0660445d7c70283040.webp?v=1790831953</t>
  </si>
  <si>
    <t>9ed808c1-7f2a-11ec-b73f-0018e40a3af2</t>
  </si>
  <si>
    <t>32443</t>
  </si>
  <si>
    <t>А8-12</t>
  </si>
  <si>
    <t>https://www.lavrpack.ru/local/templates/phoenix_v1/images_cache/thumbs/9c10b2fb557d31e863252aaf2fbc77dc.webp?v=1790831953</t>
  </si>
  <si>
    <t>72f8ec2d-7f2e-11ec-b73f-0018e40a3af2</t>
  </si>
  <si>
    <t>32442</t>
  </si>
  <si>
    <t>А13-13/L1-13</t>
  </si>
  <si>
    <t>https://www.lavrpack.ru/local/templates/phoenix_v1/images_cache/thumbs/3f189fe044328eb2ffd8edb9102e1a53.webp?v=1790831953</t>
  </si>
  <si>
    <t>a4daaa1a-7f2a-11ec-b73f-0018e40a3af2</t>
  </si>
  <si>
    <t>32446</t>
  </si>
  <si>
    <t>Е110-1001</t>
  </si>
  <si>
    <t>https://www.lavrpack.ru/local/templates/phoenix_v1/images_cache/thumbs/04f3016e32bbe9841f65b8b85ec757ae.webp?v=1790831953</t>
  </si>
  <si>
    <t>aae39416-7f2a-11ec-b73f-0018e40a3af2</t>
  </si>
  <si>
    <t>32426</t>
  </si>
  <si>
    <t>Е118-110</t>
  </si>
  <si>
    <t>https://www.lavrpack.ru/local/templates/phoenix_v1/images_cache/thumbs/9d38a51a978a4ad8bf6bd42cb5314646.webp?v=1790831953</t>
  </si>
  <si>
    <t>72f8ec2f-7f2e-11ec-b73f-0018e40a3af2</t>
  </si>
  <si>
    <t>32427</t>
  </si>
  <si>
    <t>Е118-115</t>
  </si>
  <si>
    <t>https://www.lavrpack.ru/local/templates/phoenix_v1/images_cache/thumbs/fadaa4dc5d80e566b29188ac06660610.webp?v=1790831953</t>
  </si>
  <si>
    <t>a4daaa16-7f2a-11ec-b73f-0018e40a3af2</t>
  </si>
  <si>
    <t>32436</t>
  </si>
  <si>
    <t>Е130-103</t>
  </si>
  <si>
    <t>https://www.lavrpack.ru/local/templates/phoenix_v1/images_cache/thumbs/493e220533289ee75352c0962343655c.webp?v=1790831953</t>
  </si>
  <si>
    <t>dbddd930-7f2a-11ec-b73f-0018e40a3af2</t>
  </si>
  <si>
    <t>32422</t>
  </si>
  <si>
    <t>Е139-1008</t>
  </si>
  <si>
    <t>https://www.lavrpack.ru/local/templates/phoenix_v1/images_cache/thumbs/ba7c62884d7281fd70563bb4797e9816.webp?v=1790831953</t>
  </si>
  <si>
    <t>98df3098-7f2a-11ec-b73f-0018e40a3af2</t>
  </si>
  <si>
    <t>32439</t>
  </si>
  <si>
    <t>Е140-2002</t>
  </si>
  <si>
    <t>https://www.lavrpack.ru/local/templates/phoenix_v1/images_cache/thumbs/480d0b9d169b2d0a56d477a02bf2caff.webp?v=1790831953</t>
  </si>
  <si>
    <t>9ed808ce-7f2a-11ec-b73f-0018e40a3af2</t>
  </si>
  <si>
    <t>32429</t>
  </si>
  <si>
    <t>Е146-117</t>
  </si>
  <si>
    <t>https://www.lavrpack.ru/local/templates/phoenix_v1/images_cache/thumbs/9ec7a9d7144d45afe4b5166fde1d17ef.webp?v=1790831953</t>
  </si>
  <si>
    <t>b0f1edde-7f2a-11ec-b73f-0018e40a3af2</t>
  </si>
  <si>
    <t>32433</t>
  </si>
  <si>
    <t>Е231-1001</t>
  </si>
  <si>
    <t>https://www.lavrpack.ru/local/templates/phoenix_v1/images_cache/thumbs/905e6c1a1bb3f7342b4c8db4c8341071.webp?v=1790831953</t>
  </si>
  <si>
    <t>72f8ec35-7f2e-11ec-b73f-0018e40a3af2</t>
  </si>
  <si>
    <t>32447</t>
  </si>
  <si>
    <t>Е234-1001</t>
  </si>
  <si>
    <t>https://www.lavrpack.ru/local/templates/phoenix_v1/images_cache/thumbs/1a5efa1fd263be5972fde708500c0109.webp?v=1790831953</t>
  </si>
  <si>
    <t>72f8ec2c-7f2e-11ec-b73f-0018e40a3af2</t>
  </si>
  <si>
    <t>32435</t>
  </si>
  <si>
    <t>Е275-1001</t>
  </si>
  <si>
    <t>https://www.lavrpack.ru/local/templates/phoenix_v1/images_cache/thumbs/b42cee86bf04a3646702d5b37f989633.webp?v=1790831953</t>
  </si>
  <si>
    <t>9ed808c5-7f2a-11ec-b73f-0018e40a3af2</t>
  </si>
  <si>
    <t>32437</t>
  </si>
  <si>
    <t>Е286-1001</t>
  </si>
  <si>
    <t>https://www.lavrpack.ru/local/templates/phoenix_v1/images_cache/thumbs/808b309ebfa7051accd1d515f741feaa.webp?v=1790831953</t>
  </si>
  <si>
    <t>b0f1edc4-7f2a-11ec-b73f-0018e40a3af2</t>
  </si>
  <si>
    <t>32440</t>
  </si>
  <si>
    <t>Е306-105</t>
  </si>
  <si>
    <t>https://www.lavrpack.ru/local/templates/phoenix_v1/images_cache/thumbs/e3704f5d9dc22c9acf008b2a4f2502ab.webp?v=1790831953</t>
  </si>
  <si>
    <t>dbddd939-7f2a-11ec-b73f-0018e40a3af2</t>
  </si>
  <si>
    <t>32423</t>
  </si>
  <si>
    <t>Е306-119</t>
  </si>
  <si>
    <t>https://www.lavrpack.ru/local/templates/phoenix_v1/images_cache/thumbs/89fc54b54cc656ce1689ee24eb29b425.webp?v=1790831953</t>
  </si>
  <si>
    <t>b70ab68b-7f2a-11ec-b73f-0018e40a3af2</t>
  </si>
  <si>
    <t>32425</t>
  </si>
  <si>
    <t>Е447-101</t>
  </si>
  <si>
    <t>https://www.lavrpack.ru/local/templates/phoenix_v1/images_cache/thumbs/7df600fbd6db7094997a4f652e457327.webp?v=1790831953</t>
  </si>
  <si>
    <t>98df3099-7f2a-11ec-b73f-0018e40a3af2</t>
  </si>
  <si>
    <t>32418</t>
  </si>
  <si>
    <t>E139-1002</t>
  </si>
  <si>
    <t>https://www.lavrpack.ru/local/templates/phoenix_v1/images_cache/thumbs/b3eca6f1e3eaaabd5c5a683f8340d340.webp?v=1790831953</t>
  </si>
  <si>
    <t>dbddd92f-7f2a-11ec-b73f-0018e40a3af2</t>
  </si>
  <si>
    <t>32419</t>
  </si>
  <si>
    <t>E308-110</t>
  </si>
  <si>
    <t>https://www.lavrpack.ru/local/templates/phoenix_v1/images_cache/thumbs/5243e66eaaeb33f7cc3c25581fab3f1d.webp?v=1790831953</t>
  </si>
  <si>
    <t>5be8d727-7f2a-11ec-b73f-0018e40a3af2</t>
  </si>
  <si>
    <t>10544</t>
  </si>
  <si>
    <t>Глазки большие/мальенькие в ассорт. (Россия)</t>
  </si>
  <si>
    <t>https://www.lavrpack.ru/local/templates/phoenix_v1/images_cache/thumbs/450a2a75fc3cae067a2ff7ca56f6c9a1.webp?v=1790831953</t>
  </si>
  <si>
    <t>ab6127c7-7f2c-11ec-b73f-0018e40a3af2</t>
  </si>
  <si>
    <t>53157</t>
  </si>
  <si>
    <t>Декор</t>
  </si>
  <si>
    <t>для новорожденных (в уп.), Китай</t>
  </si>
  <si>
    <t>https://www.lavrpack.ru/local/templates/phoenix_v1/images_cache/thumbs/4cc2e5068db25341795437618472a1e2.webp?v=1790831953</t>
  </si>
  <si>
    <t>aae3941c-7f2a-11ec-b73f-0018e40a3af2</t>
  </si>
  <si>
    <t>36537</t>
  </si>
  <si>
    <t>подвеска д/новорожденных в ассорт., Китай</t>
  </si>
  <si>
    <t>https://www.lavrpack.ru/local/templates/phoenix_v1/images_cache/thumbs/3492921f027a27a9a070e4b022589080.webp?v=1790831953</t>
  </si>
  <si>
    <t>78fd9291-7f2e-11ec-b73f-0018e40a3af2</t>
  </si>
  <si>
    <t>32714</t>
  </si>
  <si>
    <t>для новорожденных в ассорт., Китай</t>
  </si>
  <si>
    <t>https://www.lavrpack.ru/local/templates/phoenix_v1/images_cache/thumbs/968a10a6903f9a4ce3c56120f6ebd909.webp?v=1790831953</t>
  </si>
  <si>
    <t>a5adcf00-7f2b-11ec-b73f-0018e40a3af2</t>
  </si>
  <si>
    <t>53158</t>
  </si>
  <si>
    <t>для новорожденных (уп.), Китай</t>
  </si>
  <si>
    <t>https://www.lavrpack.ru/local/templates/phoenix_v1/images_cache/thumbs/6f57cf9212bf6ad70b8032d56e42e215.webp?v=1790831953</t>
  </si>
  <si>
    <t>c98db545-7f2a-11ec-b73f-0018e40a3af2</t>
  </si>
  <si>
    <t>36498</t>
  </si>
  <si>
    <t>украшение для новорожденных в ассорт., Китай</t>
  </si>
  <si>
    <t>https://www.lavrpack.ru/local/templates/phoenix_v1/images_cache/thumbs/ec034195cba3c38f0fe3d71aaded5791.webp?v=1790831953</t>
  </si>
  <si>
    <t>61ebc4fb-7f2a-11ec-b73f-0018e40a3af2</t>
  </si>
  <si>
    <t>9396</t>
  </si>
  <si>
    <t>Джут</t>
  </si>
  <si>
    <t>В ассортименте, Корея</t>
  </si>
  <si>
    <t>https://www.lavrpack.ru/local/templates/phoenix_v1/images_cache/thumbs/7f0da8ce853ffba4a955f7d78d9576c0.webp?v=1790831953</t>
  </si>
  <si>
    <t>d5b78828-7f2a-11ec-b73f-0018e40a3af2</t>
  </si>
  <si>
    <t>37133</t>
  </si>
  <si>
    <t>Камни иск.</t>
  </si>
  <si>
    <t>декор НС-5 в ассорт</t>
  </si>
  <si>
    <t>https://www.lavrpack.ru/local/templates/phoenix_v1/images_cache/thumbs/089f1b4b3997f9ed32e2c054a51e596c.webp?v=1790831953</t>
  </si>
  <si>
    <t>cfad57e2-7f2a-11ec-b73f-0018e40a3af2</t>
  </si>
  <si>
    <t>37145</t>
  </si>
  <si>
    <t>Кристаллы</t>
  </si>
  <si>
    <t>декор НС-1 в ассорт</t>
  </si>
  <si>
    <t>https://www.lavrpack.ru/local/templates/phoenix_v1/images_cache/thumbs/16f2fffc313cec459e94880380d9ac89.webp?v=1790831953</t>
  </si>
  <si>
    <t>78fd929d-7f2e-11ec-b73f-0018e40a3af2</t>
  </si>
  <si>
    <t>37151</t>
  </si>
  <si>
    <t>декор НС-2 в ассорт</t>
  </si>
  <si>
    <t>https://www.lavrpack.ru/local/templates/phoenix_v1/images_cache/thumbs/f53cbe9830852bb13047d0d030c23066.webp?v=1790831953</t>
  </si>
  <si>
    <t>cfad57d8-7f2a-11ec-b73f-0018e40a3af2</t>
  </si>
  <si>
    <t>37132</t>
  </si>
  <si>
    <t>декор НС-13 в ассорт</t>
  </si>
  <si>
    <t>https://www.lavrpack.ru/local/templates/phoenix_v1/images_cache/thumbs/e2d95c01acdc0627eb10e6479ace2f91.webp?v=1790831953</t>
  </si>
  <si>
    <t>cfad57dc-7f2a-11ec-b73f-0018e40a3af2</t>
  </si>
  <si>
    <t>37143</t>
  </si>
  <si>
    <t>декор НС-16 в ассорт</t>
  </si>
  <si>
    <t>https://www.lavrpack.ru/local/templates/phoenix_v1/images_cache/thumbs/a653dd1f844e147fbd5d0ba9e4c7b5d1.webp?v=1790831953</t>
  </si>
  <si>
    <t>fa719a78-7f2a-11ec-b73f-0018e40a3af2</t>
  </si>
  <si>
    <t>37144</t>
  </si>
  <si>
    <t>декор НС-18 в ассорт</t>
  </si>
  <si>
    <t>https://www.lavrpack.ru/local/templates/phoenix_v1/images_cache/thumbs/96a97c6a16e83c7ce5b4f5f1dde1d396.webp?v=1790831953</t>
  </si>
  <si>
    <t>7efd5337-7f2e-11ec-b73f-0018e40a3af2</t>
  </si>
  <si>
    <t>37148</t>
  </si>
  <si>
    <t>декор НС-20 в ассорт</t>
  </si>
  <si>
    <t>https://www.lavrpack.ru/local/templates/phoenix_v1/images_cache/thumbs/845f274c84f6618fb08a1b739e5b167d.webp?v=1790831953</t>
  </si>
  <si>
    <t>7efd533e-7f2e-11ec-b73f-0018e40a3af2</t>
  </si>
  <si>
    <t>37150</t>
  </si>
  <si>
    <t>декор НС-23 в ассорт</t>
  </si>
  <si>
    <t>https://www.lavrpack.ru/local/templates/phoenix_v1/images_cache/thumbs/745785546315d7359184583b9b87e035.webp?v=1790831953</t>
  </si>
  <si>
    <t>7efd5344-7f2e-11ec-b73f-0018e40a3af2</t>
  </si>
  <si>
    <t>37149</t>
  </si>
  <si>
    <t>декор НС-26 в ассорт</t>
  </si>
  <si>
    <t>https://www.lavrpack.ru/local/templates/phoenix_v1/images_cache/thumbs/e5e0c813e4f47fb175bd3ec7c0498b04.webp?v=1790831953</t>
  </si>
  <si>
    <t>d5b7881d-7f2a-11ec-b73f-0018e40a3af2</t>
  </si>
  <si>
    <t>37153</t>
  </si>
  <si>
    <t>декор НС-33 в ассорт</t>
  </si>
  <si>
    <t>https://www.lavrpack.ru/local/templates/phoenix_v1/images_cache/thumbs/7b7cf7e7e05a54b1cefb8198cacdd28f.webp?v=1790831953</t>
  </si>
  <si>
    <t>d5b7881f-7f2a-11ec-b73f-0018e40a3af2</t>
  </si>
  <si>
    <t>37154</t>
  </si>
  <si>
    <t>декор НС-35 в ассорт</t>
  </si>
  <si>
    <t>https://www.lavrpack.ru/local/templates/phoenix_v1/images_cache/thumbs/7cea9c267e34f5333306510b714b0bb5.webp?v=1790831953</t>
  </si>
  <si>
    <t>cfad57e3-7f2a-11ec-b73f-0018e40a3af2</t>
  </si>
  <si>
    <t>37158</t>
  </si>
  <si>
    <t>Лен</t>
  </si>
  <si>
    <t>Корея</t>
  </si>
  <si>
    <t>48×5 ярд в ассорт</t>
  </si>
  <si>
    <t>https://www.lavrpack.ru/local/templates/phoenix_v1/images_cache/thumbs/e2d3e9d5441f7c05b2640dc82d512eb9.webp?v=1790831953</t>
  </si>
  <si>
    <t>9ed808d2-7f2a-11ec-b73f-0018e40a3af2</t>
  </si>
  <si>
    <t>32430</t>
  </si>
  <si>
    <t>Нос</t>
  </si>
  <si>
    <t>С9-114</t>
  </si>
  <si>
    <t>https://www.lavrpack.ru/local/templates/phoenix_v1/images_cache/thumbs/8af575768696b6813f4bac9762c8ef88.webp?v=1790831953</t>
  </si>
  <si>
    <t>a4daaa05-7f2a-11ec-b73f-0018e40a3af2</t>
  </si>
  <si>
    <t>32432</t>
  </si>
  <si>
    <t>С9-119</t>
  </si>
  <si>
    <t>https://www.lavrpack.ru/local/templates/phoenix_v1/images_cache/thumbs/1f31aab771f84e75ed0c540a21db8d21.webp?v=1790831953</t>
  </si>
  <si>
    <t>8cbe6a25-7f2a-11ec-b73f-0018e40a3af2</t>
  </si>
  <si>
    <t>32431</t>
  </si>
  <si>
    <t>С9-120</t>
  </si>
  <si>
    <t>https://www.lavrpack.ru/local/templates/phoenix_v1/images_cache/thumbs/0478180eb670bc8c7415e07964ab9428.webp?v=1790790837</t>
  </si>
  <si>
    <t>9ed808d1-7f2a-11ec-b73f-0018e40a3af2</t>
  </si>
  <si>
    <t>32438</t>
  </si>
  <si>
    <t>С9-131</t>
  </si>
  <si>
    <t>https://www.lavrpack.ru/local/templates/phoenix_v1/images_cache/thumbs/56b3031228db36bab6f30d12a02b17de.webp?v=1790831953</t>
  </si>
  <si>
    <t>aae39413-7f2a-11ec-b73f-0018e40a3af2</t>
  </si>
  <si>
    <t>32441</t>
  </si>
  <si>
    <t>С9-607</t>
  </si>
  <si>
    <t>https://www.lavrpack.ru/local/templates/phoenix_v1/images_cache/thumbs/96be551c803966a0d1af799eaeb6770c.webp?v=1790831953</t>
  </si>
  <si>
    <t>72f8ec2e-7f2e-11ec-b73f-0018e40a3af2</t>
  </si>
  <si>
    <t>32421</t>
  </si>
  <si>
    <t>С9-611</t>
  </si>
  <si>
    <t>https://www.lavrpack.ru/local/templates/phoenix_v1/images_cache/thumbs/d9740257a4d1069f2813e0452e8cbff5.webp?v=1790831953</t>
  </si>
  <si>
    <t>98df3094-7f2a-11ec-b73f-0018e40a3af2</t>
  </si>
  <si>
    <t>32428</t>
  </si>
  <si>
    <t>С9-614</t>
  </si>
  <si>
    <t>https://www.lavrpack.ru/local/templates/phoenix_v1/images_cache/thumbs/6a053f781377ec287afeefa5183b2fb1.webp?v=1790831953</t>
  </si>
  <si>
    <t>b0f1edc7-7f2a-11ec-b73f-0018e40a3af2</t>
  </si>
  <si>
    <t>32424</t>
  </si>
  <si>
    <t>С9-619</t>
  </si>
  <si>
    <t>https://www.lavrpack.ru/local/templates/phoenix_v1/images_cache/thumbs/112cff9ff6fdfd1351a6384ac0b7e72b.webp?v=1790831953</t>
  </si>
  <si>
    <t>b0f1edd2-7f2a-11ec-b73f-0018e40a3af2</t>
  </si>
  <si>
    <t>32420</t>
  </si>
  <si>
    <t>С9-668</t>
  </si>
  <si>
    <t>https://www.lavrpack.ru/local/templates/phoenix_v1/images_cache/thumbs/ed4ad379fdc4a462fc0f60a27402df83.webp?v=1790831953</t>
  </si>
  <si>
    <t>aae3941d-7f2a-11ec-b73f-0018e40a3af2</t>
  </si>
  <si>
    <t>32434</t>
  </si>
  <si>
    <t>D9-114</t>
  </si>
  <si>
    <t>https://www.lavrpack.ru/local/templates/phoenix_v1/images_cache/thumbs/f6e6e3ceb487411db5e785df08e872af.webp?v=1790831953</t>
  </si>
  <si>
    <t>b70ab68a-7f2a-11ec-b73f-0018e40a3af2</t>
  </si>
  <si>
    <t>32449</t>
  </si>
  <si>
    <t>D9-121</t>
  </si>
  <si>
    <t>https://www.lavrpack.ru/local/templates/phoenix_v1/images_cache/thumbs/323ff8a09e1bbf6d075ad622dcd5e0b3.webp?v=1790831953</t>
  </si>
  <si>
    <t>d5b78824-7f2a-11ec-b73f-0018e40a3af2</t>
  </si>
  <si>
    <t>37136</t>
  </si>
  <si>
    <t>Ракушка</t>
  </si>
  <si>
    <t>декор. Р030в набор ассорт</t>
  </si>
  <si>
    <t>https://www.lavrpack.ru/local/templates/phoenix_v1/images_cache/thumbs/84548e1bff6d2de5f89a72cffd86b215.webp?v=1790831953</t>
  </si>
  <si>
    <t>5be8d726-7f2a-11ec-b73f-0018e40a3af2</t>
  </si>
  <si>
    <t>11645</t>
  </si>
  <si>
    <t>Сетка</t>
  </si>
  <si>
    <t>Металик Oasis MesH Корея</t>
  </si>
  <si>
    <t>https://www.lavrpack.ru/local/templates/phoenix_v1/images_cache/thumbs/4a8edba63608c6f5afd0c931b55215e6.webp?v=1790831953</t>
  </si>
  <si>
    <t>4fc170ec-7f2a-11ec-b73f-0018e40a3af2</t>
  </si>
  <si>
    <t>8558</t>
  </si>
  <si>
    <t>Сизалевое волокно</t>
  </si>
  <si>
    <t>В ассортименте (Абака), Филлипины</t>
  </si>
  <si>
    <t>https://www.lavrpack.ru/local/templates/phoenix_v1/images_cache/thumbs/994a9debb91c2e79f6ee8e49761f4273.webp?v=1790831953</t>
  </si>
  <si>
    <t>Выбрано позиций</t>
  </si>
  <si>
    <t>Общее количество</t>
  </si>
  <si>
    <t>Сумма заказа</t>
  </si>
  <si>
    <t>служебная</t>
  </si>
  <si>
    <t>UUID</t>
  </si>
  <si>
    <t>ИД_1С</t>
  </si>
  <si>
    <t>К1С</t>
  </si>
  <si>
    <t xml:space="preserve"> · Ваш заказ</t>
  </si>
  <si>
    <t>Здесь автоматически отображаются только позиции, в которых на листе «Прайс и заказ» указано количество. Лист обновляется сам — ничего копировать не нужно.</t>
  </si>
  <si>
    <t>Итого позиций</t>
  </si>
  <si>
    <t>Цена опт, с НДС</t>
  </si>
  <si>
    <t>LP-ORDER-1</t>
  </si>
  <si>
    <t>Дата выгрузки: 2026-10-01 20:34</t>
  </si>
  <si>
    <t>Тип цены: опт</t>
  </si>
  <si>
    <t>Раздел: Декор и аксессуары</t>
  </si>
  <si>
    <t>id_format</t>
  </si>
  <si>
    <t>GUID | GUID#GUID</t>
  </si>
  <si>
    <t>id_sep</t>
  </si>
  <si>
    <t>#</t>
  </si>
  <si>
    <t>Лист</t>
  </si>
  <si>
    <t>СтрокаЗаголовков</t>
  </si>
  <si>
    <t>КолИД1С</t>
  </si>
  <si>
    <t>КолКоличество</t>
  </si>
  <si>
    <t>КолЦена</t>
  </si>
  <si>
    <t>КолМножитель</t>
  </si>
  <si>
    <t>Прайс и заказ</t>
  </si>
  <si>
    <t>Q</t>
  </si>
  <si>
    <t>K</t>
  </si>
  <si>
    <t>I</t>
  </si>
  <si>
    <t>R</t>
  </si>
  <si>
    <t>Ваш заказ</t>
  </si>
  <si>
    <t>L</t>
  </si>
  <si>
    <t>G</t>
  </si>
  <si>
    <t>F</t>
  </si>
</sst>
</file>

<file path=xl/styles.xml><?xml version="1.0" encoding="utf-8"?>
<styleSheet xmlns="http://schemas.openxmlformats.org/spreadsheetml/2006/main" xml:space="preserve">
  <numFmts count="1">
    <numFmt numFmtId="164" formatCode="#,##0.00\ &quot;₽&quot;"/>
  </numFmts>
  <fonts count="16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E8E9EA"/>
      <name val="Arial"/>
    </font>
    <font>
      <b val="0"/>
      <i val="0"/>
      <strike val="0"/>
      <u val="none"/>
      <sz val="9"/>
      <color rgb="FF5D6065"/>
      <name val="Arial"/>
    </font>
    <font>
      <b val="1"/>
      <i val="0"/>
      <strike val="0"/>
      <u val="none"/>
      <sz val="9.5"/>
      <color rgb="FF000000"/>
      <name val="Arial"/>
    </font>
    <font>
      <b val="1"/>
      <i val="0"/>
      <strike val="0"/>
      <u val="none"/>
      <sz val="10.5"/>
      <color rgb="FF000000"/>
      <name val="Arial"/>
    </font>
    <font>
      <b val="1"/>
      <i val="0"/>
      <strike val="0"/>
      <u val="none"/>
      <sz val="9.5"/>
      <color rgb="FFFFFFFF"/>
      <name val="Arial"/>
    </font>
    <font>
      <b val="0"/>
      <i val="0"/>
      <strike val="0"/>
      <u val="single"/>
      <sz val="10"/>
      <color rgb="FF913B58"/>
      <name val="Arial"/>
    </font>
    <font>
      <b val="1"/>
      <i val="0"/>
      <strike val="0"/>
      <u val="none"/>
      <sz val="10.5"/>
      <color rgb="FF913B58"/>
      <name val="Arial"/>
    </font>
    <font>
      <b val="1"/>
      <i val="0"/>
      <strike val="0"/>
      <u val="single"/>
      <sz val="10.5"/>
      <color rgb="FF913B58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913B58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0"/>
      <i val="0"/>
      <strike val="0"/>
      <u val="none"/>
      <sz val="9.5"/>
      <color rgb="FF5D6065"/>
      <name val="Arial"/>
    </font>
    <font>
      <b val="0"/>
      <i val="1"/>
      <strike val="0"/>
      <u val="none"/>
      <sz val="9"/>
      <color rgb="FF5D6065"/>
      <name val="Arial"/>
    </font>
  </fonts>
  <fills count="6">
    <fill>
      <patternFill patternType="none"/>
    </fill>
    <fill>
      <patternFill patternType="gray125"/>
    </fill>
    <fill>
      <patternFill patternType="solid">
        <fgColor rgb="FF393C41"/>
        <bgColor rgb="FF000000"/>
      </patternFill>
    </fill>
    <fill>
      <patternFill patternType="solid">
        <fgColor rgb="FFF3DEE5"/>
        <bgColor rgb="FF000000"/>
      </patternFill>
    </fill>
    <fill>
      <patternFill patternType="solid">
        <fgColor rgb="FFF5E5EC"/>
        <bgColor rgb="FF000000"/>
      </patternFill>
    </fill>
    <fill>
      <patternFill patternType="solid">
        <fgColor rgb="FFFFF9E6"/>
        <bgColor rgb="FF000000"/>
      </patternFill>
    </fill>
  </fills>
  <borders count="14">
    <border>
      <left/>
      <right/>
      <top/>
      <bottom/>
      <diagonal/>
    </border>
    <border>
      <left style="thin">
        <color rgb="FFE5E4E0"/>
      </left>
      <right/>
      <top style="thin">
        <color rgb="FFE5E4E0"/>
      </top>
      <bottom/>
      <diagonal/>
    </border>
    <border>
      <left style="thin">
        <color rgb="FFE5E4E0"/>
      </left>
      <right/>
      <top/>
      <bottom/>
      <diagonal/>
    </border>
    <border>
      <left style="thin">
        <color rgb="FFE5E4E0"/>
      </left>
      <right/>
      <top/>
      <bottom style="thin">
        <color rgb="FFE5E4E0"/>
      </bottom>
      <diagonal/>
    </border>
    <border>
      <left/>
      <right/>
      <top style="thin">
        <color rgb="FFE5E4E0"/>
      </top>
      <bottom/>
      <diagonal/>
    </border>
    <border>
      <left/>
      <right/>
      <top/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/>
      <diagonal/>
    </border>
    <border>
      <left/>
      <right style="thin">
        <color rgb="FFE5E4E0"/>
      </right>
      <top/>
      <bottom/>
      <diagonal/>
    </border>
    <border>
      <left/>
      <right style="thin">
        <color rgb="FFE5E4E0"/>
      </right>
      <top/>
      <bottom style="thin">
        <color rgb="FFE5E4E0"/>
      </bottom>
      <diagonal/>
    </border>
    <border>
      <left style="hair">
        <color rgb="FFE5E4E0"/>
      </left>
      <right style="hair">
        <color rgb="FFE5E4E0"/>
      </right>
      <top style="hair">
        <color rgb="FFE5E4E0"/>
      </top>
      <bottom style="hair">
        <color rgb="FFE5E4E0"/>
      </bottom>
      <diagonal/>
    </border>
    <border>
      <left style="thin">
        <color rgb="FFE5E4E0"/>
      </left>
      <right/>
      <top style="thin">
        <color rgb="FFE5E4E0"/>
      </top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 style="thin">
        <color rgb="FFE5E4E0"/>
      </bottom>
      <diagonal/>
    </border>
    <border>
      <left style="thin">
        <color rgb="FFE5E4E0"/>
      </left>
      <right style="thin">
        <color rgb="FFE5E4E0"/>
      </right>
      <top style="thin">
        <color rgb="FFE5E4E0"/>
      </top>
      <bottom style="thin">
        <color rgb="FFE5E4E0"/>
      </bottom>
      <diagonal/>
    </border>
    <border>
      <left/>
      <right/>
      <top style="thin">
        <color rgb="FFE5E4E0"/>
      </top>
      <bottom style="thin">
        <color rgb="FFE5E4E0"/>
      </bottom>
      <diagonal/>
    </border>
  </borders>
  <cellStyleXfs count="1">
    <xf numFmtId="0" fontId="0" fillId="0" borderId="0"/>
  </cellStyleXfs>
  <cellXfs count="6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 indent="6"/>
    </xf>
    <xf xfId="0" fontId="2" numFmtId="0" fillId="0" borderId="1" applyFont="1" applyNumberFormat="0" applyFill="0" applyBorder="1" applyAlignment="1">
      <alignment vertical="center" textRotation="0" wrapText="true" shrinkToFit="false" indent="1"/>
    </xf>
    <xf xfId="0" fontId="2" numFmtId="0" fillId="0" borderId="2" applyFont="1" applyNumberFormat="0" applyFill="0" applyBorder="1" applyAlignment="1">
      <alignment vertical="center" textRotation="0" wrapText="true" shrinkToFit="false" indent="1"/>
    </xf>
    <xf xfId="0" fontId="2" numFmtId="0" fillId="0" borderId="3" applyFont="1" applyNumberFormat="0" applyFill="0" applyBorder="1" applyAlignment="1">
      <alignment vertical="center" textRotation="0" wrapText="true" shrinkToFit="false" indent="1"/>
    </xf>
    <xf xfId="0" fontId="2" numFmtId="0" fillId="0" borderId="4" applyFont="1" applyNumberFormat="0" applyFill="0" applyBorder="1" applyAlignment="1">
      <alignment vertical="center" textRotation="0" wrapText="true" shrinkToFit="false" indent="1"/>
    </xf>
    <xf xfId="0" fontId="2" numFmtId="0" fillId="0" borderId="0" applyFont="1" applyNumberFormat="0" applyFill="0" applyBorder="0" applyAlignment="1">
      <alignment vertical="center" textRotation="0" wrapText="true" shrinkToFit="false" indent="1"/>
    </xf>
    <xf xfId="0" fontId="2" numFmtId="0" fillId="0" borderId="5" applyFont="1" applyNumberFormat="0" applyFill="0" applyBorder="1" applyAlignment="1">
      <alignment vertical="center" textRotation="0" wrapText="true" shrinkToFit="false" indent="1"/>
    </xf>
    <xf xfId="0" fontId="2" numFmtId="0" fillId="0" borderId="6" applyFont="1" applyNumberFormat="0" applyFill="0" applyBorder="1" applyAlignment="1">
      <alignment vertical="center" textRotation="0" wrapText="true" shrinkToFit="false" indent="1"/>
    </xf>
    <xf xfId="0" fontId="2" numFmtId="0" fillId="0" borderId="7" applyFont="1" applyNumberFormat="0" applyFill="0" applyBorder="1" applyAlignment="1">
      <alignment vertical="center" textRotation="0" wrapText="true" shrinkToFit="false" indent="1"/>
    </xf>
    <xf xfId="0" fontId="2" numFmtId="0" fillId="0" borderId="8" applyFont="1" applyNumberFormat="0" applyFill="0" applyBorder="1" applyAlignment="1">
      <alignment vertical="center" textRotation="0" wrapText="true" shrinkToFit="false" indent="1"/>
    </xf>
    <xf xfId="0" fontId="3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9" applyFont="0" applyNumberFormat="0" applyFill="0" applyBorder="1" applyAlignment="1">
      <alignment vertical="center" textRotation="0" wrapText="false" shrinkToFit="false"/>
    </xf>
    <xf xfId="0" fontId="0" numFmtId="0" fillId="0" borderId="9" applyFont="0" applyNumberFormat="0" applyFill="0" applyBorder="1" applyAlignment="1">
      <alignment vertical="center" textRotation="0" wrapText="true" shrinkToFit="false"/>
    </xf>
    <xf xfId="0" fontId="6" numFmtId="0" fillId="0" borderId="9" applyFont="1" applyNumberFormat="0" applyFill="0" applyBorder="1" applyAlignment="1">
      <alignment horizontal="center" vertical="center" textRotation="0" wrapText="false" shrinkToFit="false"/>
    </xf>
    <xf xfId="0" fontId="0" numFmtId="0" fillId="0" borderId="9" applyFont="0" applyNumberFormat="0" applyFill="0" applyBorder="1" applyAlignment="1">
      <alignment horizontal="center" vertical="center" textRotation="0" wrapText="false" shrinkToFit="false"/>
    </xf>
    <xf xfId="0" fontId="0" numFmtId="3" fillId="0" borderId="9" applyFont="0" applyNumberFormat="1" applyFill="0" applyBorder="1" applyAlignment="1">
      <alignment horizontal="center" vertical="center" textRotation="0" wrapText="false" shrinkToFit="false"/>
    </xf>
    <xf xfId="0" fontId="0" numFmtId="164" fillId="0" borderId="9" applyFont="0" applyNumberFormat="1" applyFill="0" applyBorder="1" applyAlignment="1">
      <alignment vertical="center" textRotation="0" wrapText="false" shrinkToFit="false"/>
    </xf>
    <xf xfId="0" fontId="0" numFmtId="3" fillId="0" borderId="9" applyFont="0" applyNumberFormat="1" applyFill="0" applyBorder="1" applyAlignment="1">
      <alignment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false" shrinkToFit="false" indent="1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true" shrinkToFit="false" indent="1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3" fillId="3" borderId="9" applyFont="1" applyNumberFormat="1" applyFill="1" applyBorder="1" applyAlignment="1">
      <alignment horizontal="center" vertical="center" textRotation="0" wrapText="false" shrinkToFit="false"/>
    </xf>
    <xf xfId="0" fontId="7" numFmtId="164" fillId="3" borderId="9" applyFont="1" applyNumberFormat="1" applyFill="1" applyBorder="1" applyAlignment="1">
      <alignment vertical="center" textRotation="0" wrapText="false" shrinkToFit="false" indent="1"/>
    </xf>
    <xf xfId="0" fontId="7" numFmtId="3" fillId="3" borderId="9" applyFont="1" applyNumberFormat="1" applyFill="1" applyBorder="1" applyAlignment="1">
      <alignment vertical="center" textRotation="0" wrapText="false" shrinkToFit="false" indent="1"/>
    </xf>
    <xf xfId="0" fontId="9" numFmtId="0" fillId="4" borderId="1" applyFont="1" applyNumberFormat="0" applyFill="1" applyBorder="1" applyAlignment="0"/>
    <xf xfId="0" fontId="9" numFmtId="0" fillId="4" borderId="2" applyFont="1" applyNumberFormat="0" applyFill="1" applyBorder="1" applyAlignment="0"/>
    <xf xfId="0" fontId="9" numFmtId="0" fillId="4" borderId="3" applyFont="1" applyNumberFormat="0" applyFill="1" applyBorder="1" applyAlignment="0"/>
    <xf xfId="0" fontId="0" numFmtId="0" fillId="4" borderId="4" applyFont="0" applyNumberFormat="0" applyFill="1" applyBorder="1" applyAlignment="0"/>
    <xf xfId="0" fontId="0" numFmtId="0" fillId="4" borderId="0" applyFont="0" applyNumberFormat="0" applyFill="1" applyBorder="0" applyAlignment="0"/>
    <xf xfId="0" fontId="0" numFmtId="0" fillId="4" borderId="5" applyFont="0" applyNumberFormat="0" applyFill="1" applyBorder="1" applyAlignment="0"/>
    <xf xfId="0" fontId="0" numFmtId="3" fillId="4" borderId="6" applyFont="0" applyNumberFormat="1" applyFill="1" applyBorder="1" applyAlignment="0"/>
    <xf xfId="0" fontId="0" numFmtId="3" fillId="4" borderId="7" applyFont="0" applyNumberFormat="1" applyFill="1" applyBorder="1" applyAlignment="0"/>
    <xf xfId="0" fontId="9" numFmtId="164" fillId="4" borderId="8" applyFont="1" applyNumberFormat="1" applyFill="1" applyBorder="1" applyAlignment="0"/>
    <xf xfId="0" fontId="10" numFmtId="0" fillId="0" borderId="0" applyFont="1" applyNumberFormat="0" applyFill="0" applyBorder="0" applyAlignment="0"/>
    <xf xfId="0" fontId="11" numFmtId="0" fillId="0" borderId="0" applyFont="1" applyNumberFormat="0" applyFill="0" applyBorder="0" applyAlignment="0"/>
    <xf xfId="0" fontId="0" numFmtId="0" fillId="5" borderId="10" applyFont="0" applyNumberFormat="0" applyFill="1" applyBorder="1" applyAlignment="1" applyProtection="true">
      <alignment vertical="center" textRotation="0" wrapText="false" shrinkToFit="false"/>
      <protection locked="false"/>
    </xf>
    <xf xfId="0" fontId="0" numFmtId="0" fillId="5" borderId="11" applyFont="0" applyNumberFormat="0" applyFill="1" applyBorder="1" applyAlignment="1" applyProtection="true">
      <alignment vertical="center" textRotation="0" wrapText="false" shrinkToFit="false"/>
      <protection locked="false"/>
    </xf>
    <xf xfId="0" fontId="12" numFmtId="0" fillId="5" borderId="1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3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4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5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6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8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7" numFmtId="3" fillId="3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9" numFmtId="3" fillId="5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7" numFmtId="0" fillId="3" borderId="9" applyFont="1" applyNumberFormat="0" applyFill="1" applyBorder="1" applyAlignment="1" applyProtection="true">
      <alignment vertical="center" textRotation="0" wrapText="true" shrinkToFit="false" indent="1"/>
      <protection locked="false"/>
    </xf>
    <xf xfId="0" fontId="0" numFmtId="0" fillId="0" borderId="9" applyFont="0" applyNumberFormat="0" applyFill="0" applyBorder="1" applyAlignment="1" applyProtection="true">
      <alignment vertical="center" textRotation="0" wrapText="true" shrinkToFit="false"/>
      <protection locked="false"/>
    </xf>
    <xf xfId="0" fontId="13" numFmtId="0" fillId="2" borderId="0" applyFont="1" applyNumberFormat="0" applyFill="1" applyBorder="0" applyAlignment="1">
      <alignment vertical="center" textRotation="0" wrapText="false" shrinkToFit="false" indent="6"/>
    </xf>
    <xf xfId="0" fontId="14" numFmtId="0" fillId="0" borderId="0" applyFont="1" applyNumberFormat="0" applyFill="0" applyBorder="0" applyAlignment="1">
      <alignment vertical="center" textRotation="0" wrapText="true" shrinkToFit="false" indent="1"/>
    </xf>
    <xf xfId="0" fontId="9" numFmtId="0" fillId="4" borderId="10" applyFont="1" applyNumberFormat="0" applyFill="1" applyBorder="1" applyAlignment="0"/>
    <xf xfId="0" fontId="0" numFmtId="0" fillId="4" borderId="13" applyFont="0" applyNumberFormat="0" applyFill="1" applyBorder="1" applyAlignment="0"/>
    <xf xfId="0" fontId="0" numFmtId="3" fillId="4" borderId="13" applyFont="0" applyNumberFormat="1" applyFill="1" applyBorder="1" applyAlignment="0"/>
    <xf xfId="0" fontId="9" numFmtId="0" fillId="4" borderId="13" applyFont="1" applyNumberFormat="0" applyFill="1" applyBorder="1" applyAlignment="0"/>
    <xf xfId="0" fontId="9" numFmtId="164" fillId="4" borderId="11" applyFont="1" applyNumberFormat="1" applyFill="1" applyBorder="1" applyAlignment="0"/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1">
      <alignment vertical="center" textRotation="0" wrapText="false" shrinkToFit="false"/>
    </xf>
    <xf xfId="0" fontId="0" numFmtId="3" fillId="0" borderId="0" applyFont="0" applyNumberFormat="1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15" numFmtId="0" fillId="0" borderId="0" applyFont="1" applyNumberFormat="0" applyFill="0" applyBorder="0" applyAlignment="0"/>
  </cellXfs>
  <cellStyles count="1">
    <cellStyle name="Normal" xfId="0" builtinId="0"/>
  </cellStyles>
  <dxfs count="4">
    <dxf>
      <fill>
        <patternFill patternType="solid">
          <bgColor rgb="FFFFF1C2"/>
        </patternFill>
      </fill>
      <border/>
    </dxf>
    <dxf>
      <fill>
        <patternFill patternType="solid">
          <bgColor rgb="FFF5E5EC"/>
        </patternFill>
      </fill>
      <border/>
    </dxf>
    <dxf>
      <font>
        <color rgb="FFA9590A"/>
      </font>
      <fill>
        <patternFill patternType="solid">
          <bgColor rgb="FFFFF3E0"/>
        </patternFill>
      </fill>
      <border/>
    </dxf>
    <dxf>
      <fill>
        <patternFill patternType="solid">
          <bgColor rgb="FFF5E5EC"/>
        </patternFill>
      </fill>
      <border>
        <left style="hair">
          <color rgb="FFE5E4E0"/>
        </left>
        <right style="hair">
          <color rgb="FFE5E4E0"/>
        </right>
        <top style="hair">
          <color rgb="FFE5E4E0"/>
        </top>
        <bottom style="hair">
          <color rgb="FFE5E4E0"/>
        </bottom>
      </border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Relationship Id="rId2" Type="http://schemas.openxmlformats.org/officeDocument/2006/relationships/image" Target="../media/2137315168a3d941c90e6f2176258e7d.jpg"/><Relationship Id="rId3" Type="http://schemas.openxmlformats.org/officeDocument/2006/relationships/image" Target="../media/7b64ea74eccb38a3aa3db8b43b6f4d4a.jpg"/><Relationship Id="rId4" Type="http://schemas.openxmlformats.org/officeDocument/2006/relationships/image" Target="../media/aaa4f39daa81bd3e230e4d0ec3644714.jpg"/><Relationship Id="rId5" Type="http://schemas.openxmlformats.org/officeDocument/2006/relationships/image" Target="../media/b48a7e70d0032728a4c26f1dcf5ab632.jpg"/><Relationship Id="rId6" Type="http://schemas.openxmlformats.org/officeDocument/2006/relationships/image" Target="../media/434b9318c53e3219b92cf68748d89267.jpg"/><Relationship Id="rId7" Type="http://schemas.openxmlformats.org/officeDocument/2006/relationships/image" Target="../media/8de9c804d700e161082c088a8b53b46c.jpg"/><Relationship Id="rId8" Type="http://schemas.openxmlformats.org/officeDocument/2006/relationships/image" Target="../media/871349b24104ffea8935ffe73b546edc.jpg"/><Relationship Id="rId9" Type="http://schemas.openxmlformats.org/officeDocument/2006/relationships/image" Target="../media/768510f7225a5c67342fc7d1d6309c3d.jpg"/><Relationship Id="rId10" Type="http://schemas.openxmlformats.org/officeDocument/2006/relationships/image" Target="../media/dc91b1375e6c31a44e684e02dab8eb86.jpg"/><Relationship Id="rId11" Type="http://schemas.openxmlformats.org/officeDocument/2006/relationships/image" Target="../media/43be47706057305c141aa78a6b4dad22.jpg"/><Relationship Id="rId12" Type="http://schemas.openxmlformats.org/officeDocument/2006/relationships/image" Target="../media/9741df572ce476f381901b45c34778ae.jpg"/><Relationship Id="rId13" Type="http://schemas.openxmlformats.org/officeDocument/2006/relationships/image" Target="../media/b7629f934f9b5a4ac3dc1aae5604edf0.jpg"/><Relationship Id="rId14" Type="http://schemas.openxmlformats.org/officeDocument/2006/relationships/image" Target="../media/fcbae96d2ea1ae44ea57f452fc907260.jpg"/><Relationship Id="rId15" Type="http://schemas.openxmlformats.org/officeDocument/2006/relationships/image" Target="../media/da2d9e252a8d7a7bdb7738b8cdf1d46b.jpg"/><Relationship Id="rId16" Type="http://schemas.openxmlformats.org/officeDocument/2006/relationships/image" Target="../media/d0bdb61a4716f85d767e231d49011257.jpg"/><Relationship Id="rId17" Type="http://schemas.openxmlformats.org/officeDocument/2006/relationships/image" Target="../media/dd4b425027b3cde3d66fd8ce75770da6.jpg"/><Relationship Id="rId18" Type="http://schemas.openxmlformats.org/officeDocument/2006/relationships/image" Target="../media/16bfec4b598436b35fe49c0cdd7a9c3b.jpg"/><Relationship Id="rId19" Type="http://schemas.openxmlformats.org/officeDocument/2006/relationships/image" Target="../media/ccbee258e36267b9286daee0b04381ff.jpg"/><Relationship Id="rId20" Type="http://schemas.openxmlformats.org/officeDocument/2006/relationships/image" Target="../media/f24b0520eaaf367b99a534c6edd514d9.jpg"/><Relationship Id="rId21" Type="http://schemas.openxmlformats.org/officeDocument/2006/relationships/image" Target="../media/66b68e87f3f6183a59ffc9f0484e0942.jpg"/><Relationship Id="rId22" Type="http://schemas.openxmlformats.org/officeDocument/2006/relationships/image" Target="../media/81d81da58549bf6e24560f304989f01f.jpg"/><Relationship Id="rId23" Type="http://schemas.openxmlformats.org/officeDocument/2006/relationships/image" Target="../media/4a1d5720872c112626df905bce7c6cc3.jpg"/><Relationship Id="rId24" Type="http://schemas.openxmlformats.org/officeDocument/2006/relationships/image" Target="../media/5b045a5bd9754d1ab1fa05cb87254e57.jpg"/><Relationship Id="rId25" Type="http://schemas.openxmlformats.org/officeDocument/2006/relationships/image" Target="../media/c24663d72d4adcc4dc42b50cfb84a74b.jpg"/><Relationship Id="rId26" Type="http://schemas.openxmlformats.org/officeDocument/2006/relationships/image" Target="../media/df0205a21e4df96920617becb3fb4757.jpg"/><Relationship Id="rId27" Type="http://schemas.openxmlformats.org/officeDocument/2006/relationships/image" Target="../media/75449b105292c6bd8a301c494bb57c9b.jpg"/><Relationship Id="rId28" Type="http://schemas.openxmlformats.org/officeDocument/2006/relationships/image" Target="../media/6036040f1bdb67944a32f5535110c17f.jpg"/><Relationship Id="rId29" Type="http://schemas.openxmlformats.org/officeDocument/2006/relationships/image" Target="../media/9a7b355ce8a45b4ed318b5dc4dcdec22.jpg"/><Relationship Id="rId30" Type="http://schemas.openxmlformats.org/officeDocument/2006/relationships/image" Target="../media/b9dcf78b09a44a2515429adebef5b3c1.jpg"/><Relationship Id="rId31" Type="http://schemas.openxmlformats.org/officeDocument/2006/relationships/image" Target="../media/420d377284f56381b4e7e1f9194f62f3.jpg"/><Relationship Id="rId32" Type="http://schemas.openxmlformats.org/officeDocument/2006/relationships/image" Target="../media/81c6c08311ebe35c654302ad583287ae.jpg"/><Relationship Id="rId33" Type="http://schemas.openxmlformats.org/officeDocument/2006/relationships/image" Target="../media/7a9487d66c038ec5e80de5273d552600.jpg"/><Relationship Id="rId34" Type="http://schemas.openxmlformats.org/officeDocument/2006/relationships/image" Target="../media/0b626546c54efd5d1de22f303e54b048.jpg"/><Relationship Id="rId35" Type="http://schemas.openxmlformats.org/officeDocument/2006/relationships/image" Target="../media/cc18953740775e8b36d3c6d151471a95.jpg"/><Relationship Id="rId36" Type="http://schemas.openxmlformats.org/officeDocument/2006/relationships/image" Target="../media/3dd3d6673adb5bbc2c8c23148d6a8856.jpg"/><Relationship Id="rId37" Type="http://schemas.openxmlformats.org/officeDocument/2006/relationships/image" Target="../media/6a204da14b3bed02ae2302a176180106.jpg"/><Relationship Id="rId38" Type="http://schemas.openxmlformats.org/officeDocument/2006/relationships/image" Target="../media/07c9c73edbab2747652552a90b2b7907.jpg"/><Relationship Id="rId39" Type="http://schemas.openxmlformats.org/officeDocument/2006/relationships/image" Target="../media/6b12602206133e27142888d5b100f7e5.jpg"/><Relationship Id="rId40" Type="http://schemas.openxmlformats.org/officeDocument/2006/relationships/image" Target="../media/efe4ee4b731006e1b9bce5b365f1064f.jpg"/><Relationship Id="rId41" Type="http://schemas.openxmlformats.org/officeDocument/2006/relationships/image" Target="../media/ade2e1cb442b7ed9c346c2d386da02b9.jpg"/><Relationship Id="rId42" Type="http://schemas.openxmlformats.org/officeDocument/2006/relationships/image" Target="../media/7a06d0444ffc2a7efdf2c7b7952f6a5f.jpg"/><Relationship Id="rId43" Type="http://schemas.openxmlformats.org/officeDocument/2006/relationships/image" Target="../media/24ab8fa4b37ec8e73d0c0e6221023858.jpg"/><Relationship Id="rId44" Type="http://schemas.openxmlformats.org/officeDocument/2006/relationships/image" Target="../media/94fa18e4fbd909e850563908a6da9c41.jpg"/><Relationship Id="rId45" Type="http://schemas.openxmlformats.org/officeDocument/2006/relationships/image" Target="../media/8f94d5162fe6bcda0c8e2e852730e966.jpg"/><Relationship Id="rId46" Type="http://schemas.openxmlformats.org/officeDocument/2006/relationships/image" Target="../media/0b321b21501ffdd3e73db887f003e56e.jpg"/><Relationship Id="rId47" Type="http://schemas.openxmlformats.org/officeDocument/2006/relationships/image" Target="../media/6318b6a418c6153049cda827a7d58465.jpg"/><Relationship Id="rId48" Type="http://schemas.openxmlformats.org/officeDocument/2006/relationships/image" Target="../media/ba791b42158b9757d2491e711655a7f9.jpg"/><Relationship Id="rId49" Type="http://schemas.openxmlformats.org/officeDocument/2006/relationships/image" Target="../media/15e47384cac17f0e857369a29362cd2d.jpg"/><Relationship Id="rId50" Type="http://schemas.openxmlformats.org/officeDocument/2006/relationships/image" Target="../media/d474cceb87c41c63c4e8a510d927230e.jpg"/><Relationship Id="rId51" Type="http://schemas.openxmlformats.org/officeDocument/2006/relationships/image" Target="../media/0817f85fefc928d7a7b96d3849ad14bf.jpg"/><Relationship Id="rId52" Type="http://schemas.openxmlformats.org/officeDocument/2006/relationships/image" Target="../media/acbf1d3375d8750c0d9aef9a474b4ab5.jpg"/><Relationship Id="rId53" Type="http://schemas.openxmlformats.org/officeDocument/2006/relationships/image" Target="../media/1ec7917da304a7b7734be2e99d834d1e.jpg"/><Relationship Id="rId54" Type="http://schemas.openxmlformats.org/officeDocument/2006/relationships/image" Target="../media/fed65af8282e99295bfcf9a7f9478421.jpg"/><Relationship Id="rId55" Type="http://schemas.openxmlformats.org/officeDocument/2006/relationships/image" Target="../media/a6927893d7fdc2b52930ccb635a8de3b.jpg"/><Relationship Id="rId56" Type="http://schemas.openxmlformats.org/officeDocument/2006/relationships/image" Target="../media/4a6fad687026f529861b733c99797d2e.jpg"/><Relationship Id="rId57" Type="http://schemas.openxmlformats.org/officeDocument/2006/relationships/image" Target="../media/624508042e89081ab79d164a308f722e.jpg"/><Relationship Id="rId58" Type="http://schemas.openxmlformats.org/officeDocument/2006/relationships/image" Target="../media/09cc3671a9ea0b5230294d4529301724.jpg"/><Relationship Id="rId59" Type="http://schemas.openxmlformats.org/officeDocument/2006/relationships/image" Target="../media/b9be0bd5597a42a0cd2fa976b7636f64.jpg"/><Relationship Id="rId60" Type="http://schemas.openxmlformats.org/officeDocument/2006/relationships/image" Target="../media/5c7477e30f80ca5c7b7978321a502bbe.jpg"/><Relationship Id="rId61" Type="http://schemas.openxmlformats.org/officeDocument/2006/relationships/image" Target="../media/b264bfb82e6e85f7868f5a91c4a35dc9.jpg"/><Relationship Id="rId62" Type="http://schemas.openxmlformats.org/officeDocument/2006/relationships/image" Target="../media/9637429f6c636f388c9f642001fae628.jpg"/><Relationship Id="rId63" Type="http://schemas.openxmlformats.org/officeDocument/2006/relationships/image" Target="../media/8ac9fba5561cdb9c7358cb6e5c21ffaf.jpg"/><Relationship Id="rId64" Type="http://schemas.openxmlformats.org/officeDocument/2006/relationships/image" Target="../media/11c609c68f93e947ad23c677f936700d.jpg"/><Relationship Id="rId65" Type="http://schemas.openxmlformats.org/officeDocument/2006/relationships/image" Target="../media/8ed9ee71aac588bd5d60dd32ab8aec90.jpg"/><Relationship Id="rId66" Type="http://schemas.openxmlformats.org/officeDocument/2006/relationships/image" Target="../media/1955fbd5003b97aa53e15c4c6294403d.jpg"/><Relationship Id="rId67" Type="http://schemas.openxmlformats.org/officeDocument/2006/relationships/image" Target="../media/c82be813684790a0d07e42b7ab8f22eb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752475" cy="209550"/>
    <xdr:pic>
      <xdr:nvPicPr>
        <xdr:cNvPr id="1" name="brand_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</xdr:row>
      <xdr:rowOff>123825</xdr:rowOff>
    </xdr:from>
    <xdr:ext cx="647700" cy="476250"/>
    <xdr:pic>
      <xdr:nvPicPr>
        <xdr:cNvPr id="2" name="photo_8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</xdr:row>
      <xdr:rowOff>76200</xdr:rowOff>
    </xdr:from>
    <xdr:ext cx="647700" cy="571500"/>
    <xdr:pic>
      <xdr:nvPicPr>
        <xdr:cNvPr id="3" name="photo_9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</xdr:row>
      <xdr:rowOff>85725</xdr:rowOff>
    </xdr:from>
    <xdr:ext cx="647700" cy="552450"/>
    <xdr:pic>
      <xdr:nvPicPr>
        <xdr:cNvPr id="4" name="photo_10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38100</xdr:rowOff>
    </xdr:from>
    <xdr:ext cx="581025" cy="647700"/>
    <xdr:pic>
      <xdr:nvPicPr>
        <xdr:cNvPr id="5" name="photo_11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</xdr:row>
      <xdr:rowOff>104775</xdr:rowOff>
    </xdr:from>
    <xdr:ext cx="647700" cy="523875"/>
    <xdr:pic>
      <xdr:nvPicPr>
        <xdr:cNvPr id="6" name="photo_12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</xdr:row>
      <xdr:rowOff>76200</xdr:rowOff>
    </xdr:from>
    <xdr:ext cx="647700" cy="571500"/>
    <xdr:pic>
      <xdr:nvPicPr>
        <xdr:cNvPr id="7" name="photo_13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</xdr:row>
      <xdr:rowOff>85725</xdr:rowOff>
    </xdr:from>
    <xdr:ext cx="647700" cy="561975"/>
    <xdr:pic>
      <xdr:nvPicPr>
        <xdr:cNvPr id="8" name="photo_14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</xdr:row>
      <xdr:rowOff>57150</xdr:rowOff>
    </xdr:from>
    <xdr:ext cx="647700" cy="609600"/>
    <xdr:pic>
      <xdr:nvPicPr>
        <xdr:cNvPr id="9" name="photo_15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</xdr:row>
      <xdr:rowOff>38100</xdr:rowOff>
    </xdr:from>
    <xdr:ext cx="647700" cy="647700"/>
    <xdr:pic>
      <xdr:nvPicPr>
        <xdr:cNvPr id="10" name="photo_16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</xdr:row>
      <xdr:rowOff>95250</xdr:rowOff>
    </xdr:from>
    <xdr:ext cx="647700" cy="542925"/>
    <xdr:pic>
      <xdr:nvPicPr>
        <xdr:cNvPr id="11" name="photo_17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</xdr:row>
      <xdr:rowOff>66675</xdr:rowOff>
    </xdr:from>
    <xdr:ext cx="647700" cy="590550"/>
    <xdr:pic>
      <xdr:nvPicPr>
        <xdr:cNvPr id="12" name="photo_18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18</xdr:row>
      <xdr:rowOff>38100</xdr:rowOff>
    </xdr:from>
    <xdr:ext cx="457200" cy="647700"/>
    <xdr:pic>
      <xdr:nvPicPr>
        <xdr:cNvPr id="13" name="photo_19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</xdr:row>
      <xdr:rowOff>38100</xdr:rowOff>
    </xdr:from>
    <xdr:ext cx="638175" cy="647700"/>
    <xdr:pic>
      <xdr:nvPicPr>
        <xdr:cNvPr id="14" name="photo_20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</xdr:row>
      <xdr:rowOff>76200</xdr:rowOff>
    </xdr:from>
    <xdr:ext cx="647700" cy="581025"/>
    <xdr:pic>
      <xdr:nvPicPr>
        <xdr:cNvPr id="15" name="photo_21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</xdr:row>
      <xdr:rowOff>123825</xdr:rowOff>
    </xdr:from>
    <xdr:ext cx="647700" cy="485775"/>
    <xdr:pic>
      <xdr:nvPicPr>
        <xdr:cNvPr id="16" name="photo_22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76200</xdr:colOff>
      <xdr:row>22</xdr:row>
      <xdr:rowOff>38100</xdr:rowOff>
    </xdr:from>
    <xdr:ext cx="628650" cy="647700"/>
    <xdr:pic>
      <xdr:nvPicPr>
        <xdr:cNvPr id="17" name="photo_23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</xdr:row>
      <xdr:rowOff>85725</xdr:rowOff>
    </xdr:from>
    <xdr:ext cx="647700" cy="552450"/>
    <xdr:pic>
      <xdr:nvPicPr>
        <xdr:cNvPr id="18" name="photo_24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</xdr:row>
      <xdr:rowOff>57150</xdr:rowOff>
    </xdr:from>
    <xdr:ext cx="647700" cy="609600"/>
    <xdr:pic>
      <xdr:nvPicPr>
        <xdr:cNvPr id="19" name="photo_25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</xdr:row>
      <xdr:rowOff>38100</xdr:rowOff>
    </xdr:from>
    <xdr:ext cx="647700" cy="647700"/>
    <xdr:pic>
      <xdr:nvPicPr>
        <xdr:cNvPr id="20" name="photo_26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85725</xdr:colOff>
      <xdr:row>26</xdr:row>
      <xdr:rowOff>38100</xdr:rowOff>
    </xdr:from>
    <xdr:ext cx="600075" cy="647700"/>
    <xdr:pic>
      <xdr:nvPicPr>
        <xdr:cNvPr id="21" name="photo_27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</xdr:row>
      <xdr:rowOff>38100</xdr:rowOff>
    </xdr:from>
    <xdr:ext cx="647700" cy="647700"/>
    <xdr:pic>
      <xdr:nvPicPr>
        <xdr:cNvPr id="22" name="photo_28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</xdr:row>
      <xdr:rowOff>57150</xdr:rowOff>
    </xdr:from>
    <xdr:ext cx="647700" cy="609600"/>
    <xdr:pic>
      <xdr:nvPicPr>
        <xdr:cNvPr id="23" name="photo_29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29</xdr:row>
      <xdr:rowOff>38100</xdr:rowOff>
    </xdr:from>
    <xdr:ext cx="514350" cy="647700"/>
    <xdr:pic>
      <xdr:nvPicPr>
        <xdr:cNvPr id="24" name="photo_30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</xdr:row>
      <xdr:rowOff>76200</xdr:rowOff>
    </xdr:from>
    <xdr:ext cx="647700" cy="581025"/>
    <xdr:pic>
      <xdr:nvPicPr>
        <xdr:cNvPr id="25" name="photo_31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</xdr:row>
      <xdr:rowOff>104775</xdr:rowOff>
    </xdr:from>
    <xdr:ext cx="647700" cy="523875"/>
    <xdr:pic>
      <xdr:nvPicPr>
        <xdr:cNvPr id="26" name="photo_32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</xdr:row>
      <xdr:rowOff>38100</xdr:rowOff>
    </xdr:from>
    <xdr:ext cx="647700" cy="647700"/>
    <xdr:pic>
      <xdr:nvPicPr>
        <xdr:cNvPr id="27" name="photo_33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38100</xdr:rowOff>
    </xdr:from>
    <xdr:ext cx="590550" cy="647700"/>
    <xdr:pic>
      <xdr:nvPicPr>
        <xdr:cNvPr id="28" name="photo_34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</xdr:row>
      <xdr:rowOff>76200</xdr:rowOff>
    </xdr:from>
    <xdr:ext cx="647700" cy="571500"/>
    <xdr:pic>
      <xdr:nvPicPr>
        <xdr:cNvPr id="29" name="photo_35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</xdr:row>
      <xdr:rowOff>85725</xdr:rowOff>
    </xdr:from>
    <xdr:ext cx="647700" cy="561975"/>
    <xdr:pic>
      <xdr:nvPicPr>
        <xdr:cNvPr id="30" name="photo_36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76200</xdr:colOff>
      <xdr:row>36</xdr:row>
      <xdr:rowOff>38100</xdr:rowOff>
    </xdr:from>
    <xdr:ext cx="619125" cy="647700"/>
    <xdr:pic>
      <xdr:nvPicPr>
        <xdr:cNvPr id="31" name="photo_37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</xdr:row>
      <xdr:rowOff>38100</xdr:rowOff>
    </xdr:from>
    <xdr:ext cx="638175" cy="647700"/>
    <xdr:pic>
      <xdr:nvPicPr>
        <xdr:cNvPr id="32" name="photo_38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</xdr:row>
      <xdr:rowOff>38100</xdr:rowOff>
    </xdr:from>
    <xdr:ext cx="647700" cy="647700"/>
    <xdr:pic>
      <xdr:nvPicPr>
        <xdr:cNvPr id="33" name="photo_39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</xdr:row>
      <xdr:rowOff>85725</xdr:rowOff>
    </xdr:from>
    <xdr:ext cx="647700" cy="552450"/>
    <xdr:pic>
      <xdr:nvPicPr>
        <xdr:cNvPr id="34" name="photo_40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</xdr:row>
      <xdr:rowOff>123825</xdr:rowOff>
    </xdr:from>
    <xdr:ext cx="647700" cy="485775"/>
    <xdr:pic>
      <xdr:nvPicPr>
        <xdr:cNvPr id="35" name="photo_41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171450</xdr:colOff>
      <xdr:row>41</xdr:row>
      <xdr:rowOff>38100</xdr:rowOff>
    </xdr:from>
    <xdr:ext cx="428625" cy="647700"/>
    <xdr:pic>
      <xdr:nvPicPr>
        <xdr:cNvPr id="36" name="photo_42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219075</xdr:colOff>
      <xdr:row>42</xdr:row>
      <xdr:rowOff>38100</xdr:rowOff>
    </xdr:from>
    <xdr:ext cx="333375" cy="647700"/>
    <xdr:pic>
      <xdr:nvPicPr>
        <xdr:cNvPr id="37" name="photo_43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76200</xdr:colOff>
      <xdr:row>43</xdr:row>
      <xdr:rowOff>38100</xdr:rowOff>
    </xdr:from>
    <xdr:ext cx="619125" cy="647700"/>
    <xdr:pic>
      <xdr:nvPicPr>
        <xdr:cNvPr id="38" name="photo_44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44</xdr:row>
      <xdr:rowOff>38100</xdr:rowOff>
    </xdr:from>
    <xdr:ext cx="514350" cy="647700"/>
    <xdr:pic>
      <xdr:nvPicPr>
        <xdr:cNvPr id="39" name="photo_45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45</xdr:row>
      <xdr:rowOff>57150</xdr:rowOff>
    </xdr:from>
    <xdr:ext cx="647700" cy="609600"/>
    <xdr:pic>
      <xdr:nvPicPr>
        <xdr:cNvPr id="40" name="photo_46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46</xdr:row>
      <xdr:rowOff>38100</xdr:rowOff>
    </xdr:from>
    <xdr:ext cx="647700" cy="647700"/>
    <xdr:pic>
      <xdr:nvPicPr>
        <xdr:cNvPr id="41" name="photo_47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47</xdr:row>
      <xdr:rowOff>114300</xdr:rowOff>
    </xdr:from>
    <xdr:ext cx="647700" cy="504825"/>
    <xdr:pic>
      <xdr:nvPicPr>
        <xdr:cNvPr id="42" name="photo_48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48</xdr:row>
      <xdr:rowOff>85725</xdr:rowOff>
    </xdr:from>
    <xdr:ext cx="647700" cy="561975"/>
    <xdr:pic>
      <xdr:nvPicPr>
        <xdr:cNvPr id="43" name="photo_49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49</xdr:row>
      <xdr:rowOff>47625</xdr:rowOff>
    </xdr:from>
    <xdr:ext cx="647700" cy="628650"/>
    <xdr:pic>
      <xdr:nvPicPr>
        <xdr:cNvPr id="44" name="photo_50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50</xdr:row>
      <xdr:rowOff>104775</xdr:rowOff>
    </xdr:from>
    <xdr:ext cx="647700" cy="523875"/>
    <xdr:pic>
      <xdr:nvPicPr>
        <xdr:cNvPr id="45" name="photo_51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51</xdr:row>
      <xdr:rowOff>76200</xdr:rowOff>
    </xdr:from>
    <xdr:ext cx="647700" cy="581025"/>
    <xdr:pic>
      <xdr:nvPicPr>
        <xdr:cNvPr id="46" name="photo_52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52</xdr:row>
      <xdr:rowOff>85725</xdr:rowOff>
    </xdr:from>
    <xdr:ext cx="647700" cy="552450"/>
    <xdr:pic>
      <xdr:nvPicPr>
        <xdr:cNvPr id="47" name="photo_53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53</xdr:row>
      <xdr:rowOff>76200</xdr:rowOff>
    </xdr:from>
    <xdr:ext cx="647700" cy="581025"/>
    <xdr:pic>
      <xdr:nvPicPr>
        <xdr:cNvPr id="48" name="photo_54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54</xdr:row>
      <xdr:rowOff>85725</xdr:rowOff>
    </xdr:from>
    <xdr:ext cx="647700" cy="552450"/>
    <xdr:pic>
      <xdr:nvPicPr>
        <xdr:cNvPr id="49" name="photo_55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55</xdr:row>
      <xdr:rowOff>38100</xdr:rowOff>
    </xdr:from>
    <xdr:ext cx="647700" cy="647700"/>
    <xdr:pic>
      <xdr:nvPicPr>
        <xdr:cNvPr id="50" name="photo_56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56</xdr:row>
      <xdr:rowOff>114300</xdr:rowOff>
    </xdr:from>
    <xdr:ext cx="647700" cy="504825"/>
    <xdr:pic>
      <xdr:nvPicPr>
        <xdr:cNvPr id="51" name="photo_57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57</xdr:row>
      <xdr:rowOff>76200</xdr:rowOff>
    </xdr:from>
    <xdr:ext cx="647700" cy="571500"/>
    <xdr:pic>
      <xdr:nvPicPr>
        <xdr:cNvPr id="52" name="photo_58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58</xdr:row>
      <xdr:rowOff>38100</xdr:rowOff>
    </xdr:from>
    <xdr:ext cx="647700" cy="647700"/>
    <xdr:pic>
      <xdr:nvPicPr>
        <xdr:cNvPr id="53" name="photo_59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38100</xdr:rowOff>
    </xdr:from>
    <xdr:ext cx="590550" cy="647700"/>
    <xdr:pic>
      <xdr:nvPicPr>
        <xdr:cNvPr id="54" name="photo_60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76200</xdr:colOff>
      <xdr:row>60</xdr:row>
      <xdr:rowOff>38100</xdr:rowOff>
    </xdr:from>
    <xdr:ext cx="619125" cy="647700"/>
    <xdr:pic>
      <xdr:nvPicPr>
        <xdr:cNvPr id="55" name="photo_61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61</xdr:row>
      <xdr:rowOff>38100</xdr:rowOff>
    </xdr:from>
    <xdr:ext cx="647700" cy="647700"/>
    <xdr:pic>
      <xdr:nvPicPr>
        <xdr:cNvPr id="56" name="photo_62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62</xdr:row>
      <xdr:rowOff>114300</xdr:rowOff>
    </xdr:from>
    <xdr:ext cx="647700" cy="495300"/>
    <xdr:pic>
      <xdr:nvPicPr>
        <xdr:cNvPr id="57" name="photo_63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63</xdr:row>
      <xdr:rowOff>57150</xdr:rowOff>
    </xdr:from>
    <xdr:ext cx="647700" cy="619125"/>
    <xdr:pic>
      <xdr:nvPicPr>
        <xdr:cNvPr id="58" name="photo_64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114300</xdr:colOff>
      <xdr:row>64</xdr:row>
      <xdr:rowOff>38100</xdr:rowOff>
    </xdr:from>
    <xdr:ext cx="552450" cy="647700"/>
    <xdr:pic>
      <xdr:nvPicPr>
        <xdr:cNvPr id="59" name="photo_65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76200</xdr:colOff>
      <xdr:row>65</xdr:row>
      <xdr:rowOff>38100</xdr:rowOff>
    </xdr:from>
    <xdr:ext cx="628650" cy="647700"/>
    <xdr:pic>
      <xdr:nvPicPr>
        <xdr:cNvPr id="60" name="photo_66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66</xdr:row>
      <xdr:rowOff>57150</xdr:rowOff>
    </xdr:from>
    <xdr:ext cx="647700" cy="619125"/>
    <xdr:pic>
      <xdr:nvPicPr>
        <xdr:cNvPr id="61" name="photo_67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67</xdr:row>
      <xdr:rowOff>57150</xdr:rowOff>
    </xdr:from>
    <xdr:ext cx="647700" cy="619125"/>
    <xdr:pic>
      <xdr:nvPicPr>
        <xdr:cNvPr id="62" name="photo_68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68</xdr:row>
      <xdr:rowOff>57150</xdr:rowOff>
    </xdr:from>
    <xdr:ext cx="647700" cy="619125"/>
    <xdr:pic>
      <xdr:nvPicPr>
        <xdr:cNvPr id="63" name="photo_69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69</xdr:row>
      <xdr:rowOff>47625</xdr:rowOff>
    </xdr:from>
    <xdr:ext cx="647700" cy="628650"/>
    <xdr:pic>
      <xdr:nvPicPr>
        <xdr:cNvPr id="64" name="photo_70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70</xdr:row>
      <xdr:rowOff>38100</xdr:rowOff>
    </xdr:from>
    <xdr:ext cx="647700" cy="647700"/>
    <xdr:pic>
      <xdr:nvPicPr>
        <xdr:cNvPr id="65" name="photo_71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71</xdr:row>
      <xdr:rowOff>38100</xdr:rowOff>
    </xdr:from>
    <xdr:ext cx="647700" cy="647700"/>
    <xdr:pic>
      <xdr:nvPicPr>
        <xdr:cNvPr id="66" name="photo_72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85725</xdr:colOff>
      <xdr:row>72</xdr:row>
      <xdr:rowOff>38100</xdr:rowOff>
    </xdr:from>
    <xdr:ext cx="600075" cy="647700"/>
    <xdr:pic>
      <xdr:nvPicPr>
        <xdr:cNvPr id="67" name="photo_73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676275" cy="190500"/>
    <xdr:pic>
      <xdr:nvPicPr>
        <xdr:cNvPr id="1" name="brand_logo_s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lavrpack.ru/catalog/?product=6cfa28ca-7f2e-11ec-b73f-0018e40a3af2" TargetMode="External"/><Relationship Id="rId_hyperlink_2" Type="http://schemas.openxmlformats.org/officeDocument/2006/relationships/hyperlink" Target="https://www.lavrpack.ru/catalog/?product=6e2151c5-7f2a-11ec-b73f-0018e40a3af2" TargetMode="External"/><Relationship Id="rId_hyperlink_3" Type="http://schemas.openxmlformats.org/officeDocument/2006/relationships/hyperlink" Target="https://www.lavrpack.ru/catalog/?product=61ebc4f3-7f2a-11ec-b73f-0018e40a3af2" TargetMode="External"/><Relationship Id="rId_hyperlink_4" Type="http://schemas.openxmlformats.org/officeDocument/2006/relationships/hyperlink" Target="https://www.lavrpack.ru/catalog/?product=7a5e70c0-7f2a-11ec-b73f-0018e40a3af2" TargetMode="External"/><Relationship Id="rId_hyperlink_5" Type="http://schemas.openxmlformats.org/officeDocument/2006/relationships/hyperlink" Target="https://www.lavrpack.ru/catalog/?product=55d9636e-7f2a-11ec-b73f-0018e40a3af2" TargetMode="External"/><Relationship Id="rId_hyperlink_6" Type="http://schemas.openxmlformats.org/officeDocument/2006/relationships/hyperlink" Target="https://www.lavrpack.ru/catalog/?product=6e2151cb-7f2a-11ec-b73f-0018e40a3af2" TargetMode="External"/><Relationship Id="rId_hyperlink_7" Type="http://schemas.openxmlformats.org/officeDocument/2006/relationships/hyperlink" Target="https://www.lavrpack.ru/catalog/?product=5be8d72f-7f2a-11ec-b73f-0018e40a3af2" TargetMode="External"/><Relationship Id="rId_hyperlink_8" Type="http://schemas.openxmlformats.org/officeDocument/2006/relationships/hyperlink" Target="https://www.lavrpack.ru/catalog/?product=61ebc4ef-7f2a-11ec-b73f-0018e40a3af2" TargetMode="External"/><Relationship Id="rId_hyperlink_9" Type="http://schemas.openxmlformats.org/officeDocument/2006/relationships/hyperlink" Target="https://www.lavrpack.ru/catalog/?product=5be8d735-7f2a-11ec-b73f-0018e40a3af2" TargetMode="External"/><Relationship Id="rId_hyperlink_10" Type="http://schemas.openxmlformats.org/officeDocument/2006/relationships/hyperlink" Target="https://www.lavrpack.ru/catalog/?product=6e2151be-7f2a-11ec-b73f-0018e40a3af2" TargetMode="External"/><Relationship Id="rId_hyperlink_11" Type="http://schemas.openxmlformats.org/officeDocument/2006/relationships/hyperlink" Target="https://www.lavrpack.ru/catalog/?product=55d9637d-7f2a-11ec-b73f-0018e40a3af2" TargetMode="External"/><Relationship Id="rId_hyperlink_12" Type="http://schemas.openxmlformats.org/officeDocument/2006/relationships/hyperlink" Target="https://www.lavrpack.ru/catalog/?product=bd3bbb31-7f2a-11ec-b73f-0018e40a3af2" TargetMode="External"/><Relationship Id="rId_hyperlink_13" Type="http://schemas.openxmlformats.org/officeDocument/2006/relationships/hyperlink" Target="https://www.lavrpack.ru/catalog/?product=b0f1edc9-7f2a-11ec-b73f-0018e40a3af2" TargetMode="External"/><Relationship Id="rId_hyperlink_14" Type="http://schemas.openxmlformats.org/officeDocument/2006/relationships/hyperlink" Target="https://www.lavrpack.ru/catalog/?product=8cbe6a17-7f2a-11ec-b73f-0018e40a3af2" TargetMode="External"/><Relationship Id="rId_hyperlink_15" Type="http://schemas.openxmlformats.org/officeDocument/2006/relationships/hyperlink" Target="https://www.lavrpack.ru/catalog/?product=9ed808d0-7f2a-11ec-b73f-0018e40a3af2" TargetMode="External"/><Relationship Id="rId_hyperlink_16" Type="http://schemas.openxmlformats.org/officeDocument/2006/relationships/hyperlink" Target="https://www.lavrpack.ru/catalog/?product=9ed808c1-7f2a-11ec-b73f-0018e40a3af2" TargetMode="External"/><Relationship Id="rId_hyperlink_17" Type="http://schemas.openxmlformats.org/officeDocument/2006/relationships/hyperlink" Target="https://www.lavrpack.ru/catalog/?product=72f8ec2d-7f2e-11ec-b73f-0018e40a3af2" TargetMode="External"/><Relationship Id="rId_hyperlink_18" Type="http://schemas.openxmlformats.org/officeDocument/2006/relationships/hyperlink" Target="https://www.lavrpack.ru/catalog/?product=a4daaa1a-7f2a-11ec-b73f-0018e40a3af2" TargetMode="External"/><Relationship Id="rId_hyperlink_19" Type="http://schemas.openxmlformats.org/officeDocument/2006/relationships/hyperlink" Target="https://www.lavrpack.ru/catalog/?product=aae39416-7f2a-11ec-b73f-0018e40a3af2" TargetMode="External"/><Relationship Id="rId_hyperlink_20" Type="http://schemas.openxmlformats.org/officeDocument/2006/relationships/hyperlink" Target="https://www.lavrpack.ru/catalog/?product=72f8ec2f-7f2e-11ec-b73f-0018e40a3af2" TargetMode="External"/><Relationship Id="rId_hyperlink_21" Type="http://schemas.openxmlformats.org/officeDocument/2006/relationships/hyperlink" Target="https://www.lavrpack.ru/catalog/?product=a4daaa16-7f2a-11ec-b73f-0018e40a3af2" TargetMode="External"/><Relationship Id="rId_hyperlink_22" Type="http://schemas.openxmlformats.org/officeDocument/2006/relationships/hyperlink" Target="https://www.lavrpack.ru/catalog/?product=dbddd930-7f2a-11ec-b73f-0018e40a3af2" TargetMode="External"/><Relationship Id="rId_hyperlink_23" Type="http://schemas.openxmlformats.org/officeDocument/2006/relationships/hyperlink" Target="https://www.lavrpack.ru/catalog/?product=98df3098-7f2a-11ec-b73f-0018e40a3af2" TargetMode="External"/><Relationship Id="rId_hyperlink_24" Type="http://schemas.openxmlformats.org/officeDocument/2006/relationships/hyperlink" Target="https://www.lavrpack.ru/catalog/?product=9ed808ce-7f2a-11ec-b73f-0018e40a3af2" TargetMode="External"/><Relationship Id="rId_hyperlink_25" Type="http://schemas.openxmlformats.org/officeDocument/2006/relationships/hyperlink" Target="https://www.lavrpack.ru/catalog/?product=b0f1edde-7f2a-11ec-b73f-0018e40a3af2" TargetMode="External"/><Relationship Id="rId_hyperlink_26" Type="http://schemas.openxmlformats.org/officeDocument/2006/relationships/hyperlink" Target="https://www.lavrpack.ru/catalog/?product=72f8ec35-7f2e-11ec-b73f-0018e40a3af2" TargetMode="External"/><Relationship Id="rId_hyperlink_27" Type="http://schemas.openxmlformats.org/officeDocument/2006/relationships/hyperlink" Target="https://www.lavrpack.ru/catalog/?product=72f8ec2c-7f2e-11ec-b73f-0018e40a3af2" TargetMode="External"/><Relationship Id="rId_hyperlink_28" Type="http://schemas.openxmlformats.org/officeDocument/2006/relationships/hyperlink" Target="https://www.lavrpack.ru/catalog/?product=9ed808c5-7f2a-11ec-b73f-0018e40a3af2" TargetMode="External"/><Relationship Id="rId_hyperlink_29" Type="http://schemas.openxmlformats.org/officeDocument/2006/relationships/hyperlink" Target="https://www.lavrpack.ru/catalog/?product=b0f1edc4-7f2a-11ec-b73f-0018e40a3af2" TargetMode="External"/><Relationship Id="rId_hyperlink_30" Type="http://schemas.openxmlformats.org/officeDocument/2006/relationships/hyperlink" Target="https://www.lavrpack.ru/catalog/?product=dbddd939-7f2a-11ec-b73f-0018e40a3af2" TargetMode="External"/><Relationship Id="rId_hyperlink_31" Type="http://schemas.openxmlformats.org/officeDocument/2006/relationships/hyperlink" Target="https://www.lavrpack.ru/catalog/?product=b70ab68b-7f2a-11ec-b73f-0018e40a3af2" TargetMode="External"/><Relationship Id="rId_hyperlink_32" Type="http://schemas.openxmlformats.org/officeDocument/2006/relationships/hyperlink" Target="https://www.lavrpack.ru/catalog/?product=98df3099-7f2a-11ec-b73f-0018e40a3af2" TargetMode="External"/><Relationship Id="rId_hyperlink_33" Type="http://schemas.openxmlformats.org/officeDocument/2006/relationships/hyperlink" Target="https://www.lavrpack.ru/catalog/?product=dbddd92f-7f2a-11ec-b73f-0018e40a3af2" TargetMode="External"/><Relationship Id="rId_hyperlink_34" Type="http://schemas.openxmlformats.org/officeDocument/2006/relationships/hyperlink" Target="https://www.lavrpack.ru/catalog/?product=5be8d727-7f2a-11ec-b73f-0018e40a3af2" TargetMode="External"/><Relationship Id="rId_hyperlink_35" Type="http://schemas.openxmlformats.org/officeDocument/2006/relationships/hyperlink" Target="https://www.lavrpack.ru/catalog/?product=ab6127c7-7f2c-11ec-b73f-0018e40a3af2" TargetMode="External"/><Relationship Id="rId_hyperlink_36" Type="http://schemas.openxmlformats.org/officeDocument/2006/relationships/hyperlink" Target="https://www.lavrpack.ru/catalog/?product=aae3941c-7f2a-11ec-b73f-0018e40a3af2" TargetMode="External"/><Relationship Id="rId_hyperlink_37" Type="http://schemas.openxmlformats.org/officeDocument/2006/relationships/hyperlink" Target="https://www.lavrpack.ru/catalog/?product=78fd9291-7f2e-11ec-b73f-0018e40a3af2" TargetMode="External"/><Relationship Id="rId_hyperlink_38" Type="http://schemas.openxmlformats.org/officeDocument/2006/relationships/hyperlink" Target="https://www.lavrpack.ru/catalog/?product=a5adcf00-7f2b-11ec-b73f-0018e40a3af2" TargetMode="External"/><Relationship Id="rId_hyperlink_39" Type="http://schemas.openxmlformats.org/officeDocument/2006/relationships/hyperlink" Target="https://www.lavrpack.ru/catalog/?product=c98db545-7f2a-11ec-b73f-0018e40a3af2" TargetMode="External"/><Relationship Id="rId_hyperlink_40" Type="http://schemas.openxmlformats.org/officeDocument/2006/relationships/hyperlink" Target="https://www.lavrpack.ru/catalog/?product=61ebc4fb-7f2a-11ec-b73f-0018e40a3af2" TargetMode="External"/><Relationship Id="rId_hyperlink_41" Type="http://schemas.openxmlformats.org/officeDocument/2006/relationships/hyperlink" Target="https://www.lavrpack.ru/catalog/?product=d5b78828-7f2a-11ec-b73f-0018e40a3af2" TargetMode="External"/><Relationship Id="rId_hyperlink_42" Type="http://schemas.openxmlformats.org/officeDocument/2006/relationships/hyperlink" Target="https://www.lavrpack.ru/catalog/?product=cfad57e2-7f2a-11ec-b73f-0018e40a3af2" TargetMode="External"/><Relationship Id="rId_hyperlink_43" Type="http://schemas.openxmlformats.org/officeDocument/2006/relationships/hyperlink" Target="https://www.lavrpack.ru/catalog/?product=78fd929d-7f2e-11ec-b73f-0018e40a3af2" TargetMode="External"/><Relationship Id="rId_hyperlink_44" Type="http://schemas.openxmlformats.org/officeDocument/2006/relationships/hyperlink" Target="https://www.lavrpack.ru/catalog/?product=cfad57d8-7f2a-11ec-b73f-0018e40a3af2" TargetMode="External"/><Relationship Id="rId_hyperlink_45" Type="http://schemas.openxmlformats.org/officeDocument/2006/relationships/hyperlink" Target="https://www.lavrpack.ru/catalog/?product=cfad57dc-7f2a-11ec-b73f-0018e40a3af2" TargetMode="External"/><Relationship Id="rId_hyperlink_46" Type="http://schemas.openxmlformats.org/officeDocument/2006/relationships/hyperlink" Target="https://www.lavrpack.ru/catalog/?product=fa719a78-7f2a-11ec-b73f-0018e40a3af2" TargetMode="External"/><Relationship Id="rId_hyperlink_47" Type="http://schemas.openxmlformats.org/officeDocument/2006/relationships/hyperlink" Target="https://www.lavrpack.ru/catalog/?product=7efd5337-7f2e-11ec-b73f-0018e40a3af2" TargetMode="External"/><Relationship Id="rId_hyperlink_48" Type="http://schemas.openxmlformats.org/officeDocument/2006/relationships/hyperlink" Target="https://www.lavrpack.ru/catalog/?product=7efd533e-7f2e-11ec-b73f-0018e40a3af2" TargetMode="External"/><Relationship Id="rId_hyperlink_49" Type="http://schemas.openxmlformats.org/officeDocument/2006/relationships/hyperlink" Target="https://www.lavrpack.ru/catalog/?product=7efd5344-7f2e-11ec-b73f-0018e40a3af2" TargetMode="External"/><Relationship Id="rId_hyperlink_50" Type="http://schemas.openxmlformats.org/officeDocument/2006/relationships/hyperlink" Target="https://www.lavrpack.ru/catalog/?product=d5b7881d-7f2a-11ec-b73f-0018e40a3af2" TargetMode="External"/><Relationship Id="rId_hyperlink_51" Type="http://schemas.openxmlformats.org/officeDocument/2006/relationships/hyperlink" Target="https://www.lavrpack.ru/catalog/?product=d5b7881f-7f2a-11ec-b73f-0018e40a3af2" TargetMode="External"/><Relationship Id="rId_hyperlink_52" Type="http://schemas.openxmlformats.org/officeDocument/2006/relationships/hyperlink" Target="https://www.lavrpack.ru/catalog/?product=cfad57e3-7f2a-11ec-b73f-0018e40a3af2" TargetMode="External"/><Relationship Id="rId_hyperlink_53" Type="http://schemas.openxmlformats.org/officeDocument/2006/relationships/hyperlink" Target="https://www.lavrpack.ru/catalog/?product=9ed808d2-7f2a-11ec-b73f-0018e40a3af2" TargetMode="External"/><Relationship Id="rId_hyperlink_54" Type="http://schemas.openxmlformats.org/officeDocument/2006/relationships/hyperlink" Target="https://www.lavrpack.ru/catalog/?product=a4daaa05-7f2a-11ec-b73f-0018e40a3af2" TargetMode="External"/><Relationship Id="rId_hyperlink_55" Type="http://schemas.openxmlformats.org/officeDocument/2006/relationships/hyperlink" Target="https://www.lavrpack.ru/catalog/?product=8cbe6a25-7f2a-11ec-b73f-0018e40a3af2" TargetMode="External"/><Relationship Id="rId_hyperlink_56" Type="http://schemas.openxmlformats.org/officeDocument/2006/relationships/hyperlink" Target="https://www.lavrpack.ru/catalog/?product=9ed808d1-7f2a-11ec-b73f-0018e40a3af2" TargetMode="External"/><Relationship Id="rId_hyperlink_57" Type="http://schemas.openxmlformats.org/officeDocument/2006/relationships/hyperlink" Target="https://www.lavrpack.ru/catalog/?product=aae39413-7f2a-11ec-b73f-0018e40a3af2" TargetMode="External"/><Relationship Id="rId_hyperlink_58" Type="http://schemas.openxmlformats.org/officeDocument/2006/relationships/hyperlink" Target="https://www.lavrpack.ru/catalog/?product=72f8ec2e-7f2e-11ec-b73f-0018e40a3af2" TargetMode="External"/><Relationship Id="rId_hyperlink_59" Type="http://schemas.openxmlformats.org/officeDocument/2006/relationships/hyperlink" Target="https://www.lavrpack.ru/catalog/?product=98df3094-7f2a-11ec-b73f-0018e40a3af2" TargetMode="External"/><Relationship Id="rId_hyperlink_60" Type="http://schemas.openxmlformats.org/officeDocument/2006/relationships/hyperlink" Target="https://www.lavrpack.ru/catalog/?product=b0f1edc7-7f2a-11ec-b73f-0018e40a3af2" TargetMode="External"/><Relationship Id="rId_hyperlink_61" Type="http://schemas.openxmlformats.org/officeDocument/2006/relationships/hyperlink" Target="https://www.lavrpack.ru/catalog/?product=b0f1edd2-7f2a-11ec-b73f-0018e40a3af2" TargetMode="External"/><Relationship Id="rId_hyperlink_62" Type="http://schemas.openxmlformats.org/officeDocument/2006/relationships/hyperlink" Target="https://www.lavrpack.ru/catalog/?product=aae3941d-7f2a-11ec-b73f-0018e40a3af2" TargetMode="External"/><Relationship Id="rId_hyperlink_63" Type="http://schemas.openxmlformats.org/officeDocument/2006/relationships/hyperlink" Target="https://www.lavrpack.ru/catalog/?product=b70ab68a-7f2a-11ec-b73f-0018e40a3af2" TargetMode="External"/><Relationship Id="rId_hyperlink_64" Type="http://schemas.openxmlformats.org/officeDocument/2006/relationships/hyperlink" Target="https://www.lavrpack.ru/catalog/?product=d5b78824-7f2a-11ec-b73f-0018e40a3af2" TargetMode="External"/><Relationship Id="rId_hyperlink_65" Type="http://schemas.openxmlformats.org/officeDocument/2006/relationships/hyperlink" Target="https://www.lavrpack.ru/catalog/?product=5be8d726-7f2a-11ec-b73f-0018e40a3af2" TargetMode="External"/><Relationship Id="rId_hyperlink_66" Type="http://schemas.openxmlformats.org/officeDocument/2006/relationships/hyperlink" Target="https://www.lavrpack.ru/catalog/?product=4fc170ec-7f2a-11ec-b73f-0018e40a3af2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R77"/>
  <sheetViews>
    <sheetView tabSelected="1" workbookViewId="0" showGridLines="true" showRowColHeaders="1">
      <pane ySplit="6" activePane="bottomLeft" state="frozen" topLeftCell="A7"/>
      <selection pane="bottomLeft" activeCell="M7" sqref="M7:M73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26" customWidth="true" style="0"/>
    <col min="4" max="4" width="30" customWidth="true" style="0"/>
    <col min="5" max="5" width="21" customWidth="true" style="0"/>
    <col min="6" max="6" width="8" customWidth="true" style="0"/>
    <col min="7" max="7" width="10" customWidth="true" style="0"/>
    <col min="8" max="8" width="11" hidden="true" customWidth="true" style="0"/>
    <col min="9" max="9" width="11" customWidth="true" style="0"/>
    <col min="10" max="10" width="11" customWidth="true" style="0"/>
    <col min="11" max="11" width="11" customWidth="true" style="0"/>
    <col min="12" max="12" width="14" customWidth="true" style="0"/>
    <col min="13" max="13" width="26" customWidth="true" style="0"/>
    <col min="14" max="14" width="9.10" hidden="true" style="0"/>
    <col min="15" max="15" width="9.10" hidden="true" style="0"/>
    <col min="16" max="16" width="9.10" hidden="true" style="0"/>
    <col min="17" max="17" width="9.10" hidden="true" style="0"/>
    <col min="18" max="18" width="9.10" hidden="true" style="0"/>
  </cols>
  <sheetData>
    <row r="1" spans="1:18" customHeight="1" ht="30">
      <c r="A1" s="1" t="s">
        <v>0</v>
      </c>
    </row>
    <row r="2" spans="1:18" customHeight="1" ht="21">
      <c r="A2" s="11" t="s">
        <v>1</v>
      </c>
      <c r="B2" s="41"/>
      <c r="C2" s="42"/>
      <c r="D2" s="12" t="s">
        <v>5</v>
      </c>
      <c r="E2" s="41"/>
      <c r="F2" s="42"/>
      <c r="G2" s="14" t="s">
        <v>12</v>
      </c>
      <c r="H2" s="13"/>
      <c r="I2" s="13"/>
      <c r="J2" s="2" t="s">
        <v>13</v>
      </c>
      <c r="K2" s="5"/>
      <c r="L2" s="8"/>
    </row>
    <row r="3" spans="1:18" customHeight="1" ht="21">
      <c r="A3" s="11" t="s">
        <v>2</v>
      </c>
      <c r="B3" s="41"/>
      <c r="C3" s="42"/>
      <c r="D3" s="12" t="s">
        <v>6</v>
      </c>
      <c r="E3" s="13" t="s">
        <v>7</v>
      </c>
      <c r="F3" s="13"/>
      <c r="G3" s="43"/>
      <c r="H3" s="45"/>
      <c r="I3" s="47"/>
      <c r="J3" s="3"/>
      <c r="K3" s="6"/>
      <c r="L3" s="9"/>
    </row>
    <row r="4" spans="1:18" customHeight="1" ht="21">
      <c r="A4" s="11" t="s">
        <v>3</v>
      </c>
      <c r="B4" s="41"/>
      <c r="C4" s="42"/>
      <c r="D4" s="12" t="s">
        <v>8</v>
      </c>
      <c r="E4" s="13" t="s">
        <v>9</v>
      </c>
      <c r="F4" s="13"/>
      <c r="G4" s="44"/>
      <c r="H4" s="46"/>
      <c r="I4" s="48"/>
      <c r="J4" s="3"/>
      <c r="K4" s="6"/>
      <c r="L4" s="9"/>
    </row>
    <row r="5" spans="1:18" customHeight="1" ht="21">
      <c r="A5" s="11" t="s">
        <v>4</v>
      </c>
      <c r="B5" s="41"/>
      <c r="C5" s="42"/>
      <c r="D5" s="12" t="s">
        <v>10</v>
      </c>
      <c r="E5" s="13" t="s">
        <v>11</v>
      </c>
      <c r="F5" s="13"/>
      <c r="G5" s="39" t="str">
        <f>IF($G$3="","",SUMPRODUCT(--ISNUMBER(SEARCH($G$3,$B$7:$B$73&amp;" "&amp;$C$7:$C$73&amp;" "&amp;$D$7:$D$73&amp;" "&amp;$E$7:$E$73)))&amp;" найдено — совпадения подсвечены")</f>
      </c>
      <c r="J5" s="4"/>
      <c r="K5" s="7"/>
      <c r="L5" s="10"/>
    </row>
    <row r="6" spans="1:18" customHeight="1" ht="30">
      <c r="A6" s="15" t="s">
        <v>14</v>
      </c>
      <c r="B6" s="15" t="s">
        <v>15</v>
      </c>
      <c r="C6" s="15" t="s">
        <v>16</v>
      </c>
      <c r="D6" s="15" t="s">
        <v>17</v>
      </c>
      <c r="E6" s="15" t="s">
        <v>18</v>
      </c>
      <c r="F6" s="15" t="s">
        <v>19</v>
      </c>
      <c r="G6" s="15" t="s">
        <v>20</v>
      </c>
      <c r="H6" s="15"/>
      <c r="I6" s="15" t="s">
        <v>21</v>
      </c>
      <c r="J6" s="15" t="s">
        <v>22</v>
      </c>
      <c r="K6" s="15" t="s">
        <v>23</v>
      </c>
      <c r="L6" s="15" t="s">
        <v>24</v>
      </c>
      <c r="M6" s="15" t="s">
        <v>5</v>
      </c>
      <c r="N6" s="40" t="s">
        <v>312</v>
      </c>
      <c r="P6" s="40" t="s">
        <v>313</v>
      </c>
      <c r="Q6" s="40" t="s">
        <v>314</v>
      </c>
      <c r="R6" s="40" t="s">
        <v>315</v>
      </c>
    </row>
    <row r="7" spans="1:18" customHeight="1" ht="24">
      <c r="A7" s="23" t="s">
        <v>25</v>
      </c>
      <c r="B7" s="24"/>
      <c r="C7" s="25"/>
      <c r="D7" s="25"/>
      <c r="E7" s="25"/>
      <c r="F7" s="26"/>
      <c r="G7" s="27"/>
      <c r="H7" s="28"/>
      <c r="I7" s="28"/>
      <c r="J7" s="29"/>
      <c r="K7" s="49"/>
      <c r="L7" s="28"/>
      <c r="M7" s="51"/>
      <c r="N7" t="str">
        <f>IF(K7&gt;0,COUNTIF($K$7:K7,"&gt;0"),"")</f>
      </c>
    </row>
    <row r="8" spans="1:18" customHeight="1" ht="58">
      <c r="A8" s="16"/>
      <c r="B8" s="18" t="s">
        <v>27</v>
      </c>
      <c r="C8" s="17" t="s">
        <v>28</v>
      </c>
      <c r="D8" s="17" t="s">
        <v>29</v>
      </c>
      <c r="E8" s="17" t="s">
        <v>30</v>
      </c>
      <c r="F8" s="19"/>
      <c r="G8" s="20">
        <v>1.0</v>
      </c>
      <c r="H8" s="21"/>
      <c r="I8" s="21">
        <v>47.0</v>
      </c>
      <c r="J8" s="22">
        <v>517.0</v>
      </c>
      <c r="K8" s="50"/>
      <c r="L8" s="21" t="str">
        <f>IF(K8&gt;0,K8*I8,"")</f>
      </c>
      <c r="M8" s="52"/>
      <c r="N8" t="str">
        <f>IF(K8&gt;0,COUNTIF($K$7:K8,"&gt;0"),"")</f>
      </c>
      <c r="O8" t="s">
        <v>31</v>
      </c>
      <c r="P8" t="s">
        <v>26</v>
      </c>
      <c r="Q8" t="s">
        <v>26</v>
      </c>
    </row>
    <row r="9" spans="1:18" customHeight="1" ht="58">
      <c r="A9" s="16"/>
      <c r="B9" s="18" t="s">
        <v>33</v>
      </c>
      <c r="C9" s="17" t="s">
        <v>28</v>
      </c>
      <c r="D9" s="17" t="s">
        <v>34</v>
      </c>
      <c r="E9" s="17" t="s">
        <v>35</v>
      </c>
      <c r="F9" s="19"/>
      <c r="G9" s="20">
        <v>1.0</v>
      </c>
      <c r="H9" s="21"/>
      <c r="I9" s="21">
        <v>255.0</v>
      </c>
      <c r="J9" s="22">
        <v>41.0</v>
      </c>
      <c r="K9" s="50"/>
      <c r="L9" s="21" t="str">
        <f>IF(K9&gt;0,K9*I9,"")</f>
      </c>
      <c r="M9" s="52"/>
      <c r="N9" t="str">
        <f>IF(K9&gt;0,COUNTIF($K$7:K9,"&gt;0"),"")</f>
      </c>
      <c r="O9" t="s">
        <v>36</v>
      </c>
      <c r="P9" t="s">
        <v>32</v>
      </c>
      <c r="Q9" t="s">
        <v>32</v>
      </c>
    </row>
    <row r="10" spans="1:18" customHeight="1" ht="58">
      <c r="A10" s="16"/>
      <c r="B10" s="18" t="s">
        <v>38</v>
      </c>
      <c r="C10" s="17" t="s">
        <v>28</v>
      </c>
      <c r="D10" s="17" t="s">
        <v>34</v>
      </c>
      <c r="E10" s="17" t="s">
        <v>39</v>
      </c>
      <c r="F10" s="19"/>
      <c r="G10" s="20">
        <v>1.0</v>
      </c>
      <c r="H10" s="21"/>
      <c r="I10" s="21">
        <v>289.0</v>
      </c>
      <c r="J10" s="22">
        <v>6.0</v>
      </c>
      <c r="K10" s="50"/>
      <c r="L10" s="21" t="str">
        <f>IF(K10&gt;0,K10*I10,"")</f>
      </c>
      <c r="M10" s="52"/>
      <c r="N10" t="str">
        <f>IF(K10&gt;0,COUNTIF($K$7:K10,"&gt;0"),"")</f>
      </c>
      <c r="O10" t="s">
        <v>40</v>
      </c>
      <c r="P10" t="s">
        <v>37</v>
      </c>
      <c r="Q10" t="s">
        <v>37</v>
      </c>
    </row>
    <row r="11" spans="1:18" customHeight="1" ht="58">
      <c r="A11" s="16"/>
      <c r="B11" s="18" t="s">
        <v>42</v>
      </c>
      <c r="C11" s="17" t="s">
        <v>28</v>
      </c>
      <c r="D11" s="17" t="s">
        <v>34</v>
      </c>
      <c r="E11" s="17" t="s">
        <v>43</v>
      </c>
      <c r="F11" s="19"/>
      <c r="G11" s="20">
        <v>1.0</v>
      </c>
      <c r="H11" s="21"/>
      <c r="I11" s="21">
        <v>243.0</v>
      </c>
      <c r="J11" s="22">
        <v>1.0</v>
      </c>
      <c r="K11" s="50"/>
      <c r="L11" s="21" t="str">
        <f>IF(K11&gt;0,K11*I11,"")</f>
      </c>
      <c r="M11" s="52"/>
      <c r="N11" t="str">
        <f>IF(K11&gt;0,COUNTIF($K$7:K11,"&gt;0"),"")</f>
      </c>
      <c r="O11" t="s">
        <v>44</v>
      </c>
      <c r="P11" t="s">
        <v>41</v>
      </c>
      <c r="Q11" t="s">
        <v>41</v>
      </c>
    </row>
    <row r="12" spans="1:18" customHeight="1" ht="58">
      <c r="A12" s="16"/>
      <c r="B12" s="18" t="s">
        <v>46</v>
      </c>
      <c r="C12" s="17" t="s">
        <v>28</v>
      </c>
      <c r="D12" s="17" t="s">
        <v>34</v>
      </c>
      <c r="E12" s="17" t="s">
        <v>47</v>
      </c>
      <c r="F12" s="19"/>
      <c r="G12" s="20">
        <v>1.0</v>
      </c>
      <c r="H12" s="21"/>
      <c r="I12" s="21">
        <v>151.0</v>
      </c>
      <c r="J12" s="22">
        <v>206.0</v>
      </c>
      <c r="K12" s="50"/>
      <c r="L12" s="21" t="str">
        <f>IF(K12&gt;0,K12*I12,"")</f>
      </c>
      <c r="M12" s="52"/>
      <c r="N12" t="str">
        <f>IF(K12&gt;0,COUNTIF($K$7:K12,"&gt;0"),"")</f>
      </c>
      <c r="O12" t="s">
        <v>48</v>
      </c>
      <c r="P12" t="s">
        <v>45</v>
      </c>
      <c r="Q12" t="s">
        <v>45</v>
      </c>
    </row>
    <row r="13" spans="1:18" customHeight="1" ht="58">
      <c r="A13" s="16"/>
      <c r="B13" s="18" t="s">
        <v>50</v>
      </c>
      <c r="C13" s="17" t="s">
        <v>28</v>
      </c>
      <c r="D13" s="17" t="s">
        <v>34</v>
      </c>
      <c r="E13" s="17" t="s">
        <v>51</v>
      </c>
      <c r="F13" s="19"/>
      <c r="G13" s="20">
        <v>1.0</v>
      </c>
      <c r="H13" s="21"/>
      <c r="I13" s="21">
        <v>231.0</v>
      </c>
      <c r="J13" s="22">
        <v>1774.0</v>
      </c>
      <c r="K13" s="50"/>
      <c r="L13" s="21" t="str">
        <f>IF(K13&gt;0,K13*I13,"")</f>
      </c>
      <c r="M13" s="52"/>
      <c r="N13" t="str">
        <f>IF(K13&gt;0,COUNTIF($K$7:K13,"&gt;0"),"")</f>
      </c>
      <c r="O13" t="s">
        <v>52</v>
      </c>
      <c r="P13" t="s">
        <v>49</v>
      </c>
      <c r="Q13" t="s">
        <v>49</v>
      </c>
    </row>
    <row r="14" spans="1:18" customHeight="1" ht="58">
      <c r="A14" s="16"/>
      <c r="B14" s="18" t="s">
        <v>54</v>
      </c>
      <c r="C14" s="17" t="s">
        <v>55</v>
      </c>
      <c r="D14" s="17" t="s">
        <v>34</v>
      </c>
      <c r="E14" s="17" t="s">
        <v>56</v>
      </c>
      <c r="F14" s="19"/>
      <c r="G14" s="20">
        <v>1.0</v>
      </c>
      <c r="H14" s="21"/>
      <c r="I14" s="21">
        <v>237.0</v>
      </c>
      <c r="J14" s="22">
        <v>1716.0</v>
      </c>
      <c r="K14" s="50"/>
      <c r="L14" s="21" t="str">
        <f>IF(K14&gt;0,K14*I14,"")</f>
      </c>
      <c r="M14" s="52"/>
      <c r="N14" t="str">
        <f>IF(K14&gt;0,COUNTIF($K$7:K14,"&gt;0"),"")</f>
      </c>
      <c r="O14" t="s">
        <v>57</v>
      </c>
      <c r="P14" t="s">
        <v>53</v>
      </c>
      <c r="Q14" t="s">
        <v>53</v>
      </c>
    </row>
    <row r="15" spans="1:18" customHeight="1" ht="58">
      <c r="A15" s="16"/>
      <c r="B15" s="18" t="s">
        <v>59</v>
      </c>
      <c r="C15" s="17" t="s">
        <v>55</v>
      </c>
      <c r="D15" s="17" t="s">
        <v>34</v>
      </c>
      <c r="E15" s="17" t="s">
        <v>60</v>
      </c>
      <c r="F15" s="19"/>
      <c r="G15" s="20">
        <v>1.0</v>
      </c>
      <c r="H15" s="21"/>
      <c r="I15" s="21">
        <v>751.0</v>
      </c>
      <c r="J15" s="22">
        <v>55.0</v>
      </c>
      <c r="K15" s="50"/>
      <c r="L15" s="21" t="str">
        <f>IF(K15&gt;0,K15*I15,"")</f>
      </c>
      <c r="M15" s="52"/>
      <c r="N15" t="str">
        <f>IF(K15&gt;0,COUNTIF($K$7:K15,"&gt;0"),"")</f>
      </c>
      <c r="O15" t="s">
        <v>61</v>
      </c>
      <c r="P15" t="s">
        <v>58</v>
      </c>
      <c r="Q15" t="s">
        <v>58</v>
      </c>
    </row>
    <row r="16" spans="1:18" customHeight="1" ht="58">
      <c r="A16" s="16"/>
      <c r="B16" s="18" t="s">
        <v>63</v>
      </c>
      <c r="C16" s="17" t="s">
        <v>55</v>
      </c>
      <c r="D16" s="17" t="s">
        <v>34</v>
      </c>
      <c r="E16" s="17" t="s">
        <v>64</v>
      </c>
      <c r="F16" s="19"/>
      <c r="G16" s="20">
        <v>1.0</v>
      </c>
      <c r="H16" s="21"/>
      <c r="I16" s="21">
        <v>319.0</v>
      </c>
      <c r="J16" s="22">
        <v>43.0</v>
      </c>
      <c r="K16" s="50"/>
      <c r="L16" s="21" t="str">
        <f>IF(K16&gt;0,K16*I16,"")</f>
      </c>
      <c r="M16" s="52"/>
      <c r="N16" t="str">
        <f>IF(K16&gt;0,COUNTIF($K$7:K16,"&gt;0"),"")</f>
      </c>
      <c r="O16" t="s">
        <v>65</v>
      </c>
      <c r="P16" t="s">
        <v>62</v>
      </c>
      <c r="Q16" t="s">
        <v>62</v>
      </c>
    </row>
    <row r="17" spans="1:18" customHeight="1" ht="58">
      <c r="A17" s="16"/>
      <c r="B17" s="18" t="s">
        <v>67</v>
      </c>
      <c r="C17" s="17" t="s">
        <v>55</v>
      </c>
      <c r="D17" s="17" t="s">
        <v>34</v>
      </c>
      <c r="E17" s="17" t="s">
        <v>68</v>
      </c>
      <c r="F17" s="19"/>
      <c r="G17" s="20">
        <v>1.0</v>
      </c>
      <c r="H17" s="21"/>
      <c r="I17" s="21">
        <v>231.0</v>
      </c>
      <c r="J17" s="22">
        <v>1395.0</v>
      </c>
      <c r="K17" s="50"/>
      <c r="L17" s="21" t="str">
        <f>IF(K17&gt;0,K17*I17,"")</f>
      </c>
      <c r="M17" s="52"/>
      <c r="N17" t="str">
        <f>IF(K17&gt;0,COUNTIF($K$7:K17,"&gt;0"),"")</f>
      </c>
      <c r="O17" t="s">
        <v>69</v>
      </c>
      <c r="P17" t="s">
        <v>66</v>
      </c>
      <c r="Q17" t="s">
        <v>66</v>
      </c>
    </row>
    <row r="18" spans="1:18" customHeight="1" ht="58">
      <c r="A18" s="16"/>
      <c r="B18" s="18" t="s">
        <v>71</v>
      </c>
      <c r="C18" s="17" t="s">
        <v>72</v>
      </c>
      <c r="D18" s="17" t="s">
        <v>73</v>
      </c>
      <c r="E18" s="17" t="s">
        <v>74</v>
      </c>
      <c r="F18" s="19"/>
      <c r="G18" s="20">
        <v>1.0</v>
      </c>
      <c r="H18" s="21"/>
      <c r="I18" s="21">
        <v>98.0</v>
      </c>
      <c r="J18" s="22">
        <v>5.0</v>
      </c>
      <c r="K18" s="50"/>
      <c r="L18" s="21" t="str">
        <f>IF(K18&gt;0,K18*I18,"")</f>
      </c>
      <c r="M18" s="52"/>
      <c r="N18" t="str">
        <f>IF(K18&gt;0,COUNTIF($K$7:K18,"&gt;0"),"")</f>
      </c>
      <c r="O18" t="s">
        <v>75</v>
      </c>
      <c r="P18" t="s">
        <v>70</v>
      </c>
      <c r="Q18" t="s">
        <v>70</v>
      </c>
    </row>
    <row r="19" spans="1:18" customHeight="1" ht="58">
      <c r="A19" s="16"/>
      <c r="B19" s="18" t="s">
        <v>77</v>
      </c>
      <c r="C19" s="17" t="s">
        <v>78</v>
      </c>
      <c r="D19" s="17" t="s">
        <v>79</v>
      </c>
      <c r="E19" s="17"/>
      <c r="F19" s="19"/>
      <c r="G19" s="20">
        <v>1.0</v>
      </c>
      <c r="H19" s="21"/>
      <c r="I19" s="21">
        <v>14.0</v>
      </c>
      <c r="J19" s="22">
        <v>4017.0</v>
      </c>
      <c r="K19" s="50"/>
      <c r="L19" s="21" t="str">
        <f>IF(K19&gt;0,K19*I19,"")</f>
      </c>
      <c r="M19" s="52"/>
      <c r="N19" t="str">
        <f>IF(K19&gt;0,COUNTIF($K$7:K19,"&gt;0"),"")</f>
      </c>
      <c r="O19" t="s">
        <v>80</v>
      </c>
      <c r="P19" t="s">
        <v>76</v>
      </c>
      <c r="Q19" t="s">
        <v>76</v>
      </c>
    </row>
    <row r="20" spans="1:18" customHeight="1" ht="58">
      <c r="A20" s="16"/>
      <c r="B20" s="18" t="s">
        <v>82</v>
      </c>
      <c r="C20" s="17" t="s">
        <v>83</v>
      </c>
      <c r="D20" s="17" t="s">
        <v>84</v>
      </c>
      <c r="E20" s="17" t="s">
        <v>85</v>
      </c>
      <c r="F20" s="19"/>
      <c r="G20" s="20">
        <v>1.0</v>
      </c>
      <c r="H20" s="21"/>
      <c r="I20" s="21">
        <v>4.0</v>
      </c>
      <c r="J20" s="22">
        <v>3312.0</v>
      </c>
      <c r="K20" s="50"/>
      <c r="L20" s="21" t="str">
        <f>IF(K20&gt;0,K20*I20,"")</f>
      </c>
      <c r="M20" s="52"/>
      <c r="N20" t="str">
        <f>IF(K20&gt;0,COUNTIF($K$7:K20,"&gt;0"),"")</f>
      </c>
      <c r="O20" t="s">
        <v>86</v>
      </c>
      <c r="P20" t="s">
        <v>81</v>
      </c>
      <c r="Q20" t="s">
        <v>81</v>
      </c>
    </row>
    <row r="21" spans="1:18" customHeight="1" ht="58">
      <c r="A21" s="16"/>
      <c r="B21" s="18" t="s">
        <v>88</v>
      </c>
      <c r="C21" s="17" t="s">
        <v>83</v>
      </c>
      <c r="D21" s="17" t="s">
        <v>84</v>
      </c>
      <c r="E21" s="17" t="s">
        <v>89</v>
      </c>
      <c r="F21" s="19"/>
      <c r="G21" s="20">
        <v>1.0</v>
      </c>
      <c r="H21" s="21"/>
      <c r="I21" s="21">
        <v>4.0</v>
      </c>
      <c r="J21" s="22">
        <v>3018.0</v>
      </c>
      <c r="K21" s="50"/>
      <c r="L21" s="21" t="str">
        <f>IF(K21&gt;0,K21*I21,"")</f>
      </c>
      <c r="M21" s="52"/>
      <c r="N21" t="str">
        <f>IF(K21&gt;0,COUNTIF($K$7:K21,"&gt;0"),"")</f>
      </c>
      <c r="O21" t="s">
        <v>90</v>
      </c>
      <c r="P21" t="s">
        <v>87</v>
      </c>
      <c r="Q21" t="s">
        <v>87</v>
      </c>
    </row>
    <row r="22" spans="1:18" customHeight="1" ht="58">
      <c r="A22" s="16"/>
      <c r="B22" s="18" t="s">
        <v>92</v>
      </c>
      <c r="C22" s="17" t="s">
        <v>83</v>
      </c>
      <c r="D22" s="17" t="s">
        <v>84</v>
      </c>
      <c r="E22" s="17" t="s">
        <v>93</v>
      </c>
      <c r="F22" s="19"/>
      <c r="G22" s="20">
        <v>1.0</v>
      </c>
      <c r="H22" s="21"/>
      <c r="I22" s="21">
        <v>6.0</v>
      </c>
      <c r="J22" s="22">
        <v>8534.0</v>
      </c>
      <c r="K22" s="50"/>
      <c r="L22" s="21" t="str">
        <f>IF(K22&gt;0,K22*I22,"")</f>
      </c>
      <c r="M22" s="52"/>
      <c r="N22" t="str">
        <f>IF(K22&gt;0,COUNTIF($K$7:K22,"&gt;0"),"")</f>
      </c>
      <c r="O22" t="s">
        <v>94</v>
      </c>
      <c r="P22" t="s">
        <v>91</v>
      </c>
      <c r="Q22" t="s">
        <v>91</v>
      </c>
    </row>
    <row r="23" spans="1:18" customHeight="1" ht="58">
      <c r="A23" s="16"/>
      <c r="B23" s="18" t="s">
        <v>96</v>
      </c>
      <c r="C23" s="17" t="s">
        <v>83</v>
      </c>
      <c r="D23" s="17" t="s">
        <v>84</v>
      </c>
      <c r="E23" s="17" t="s">
        <v>97</v>
      </c>
      <c r="F23" s="19"/>
      <c r="G23" s="20">
        <v>1.0</v>
      </c>
      <c r="H23" s="21"/>
      <c r="I23" s="21">
        <v>5.0</v>
      </c>
      <c r="J23" s="22">
        <v>3502.0</v>
      </c>
      <c r="K23" s="50"/>
      <c r="L23" s="21" t="str">
        <f>IF(K23&gt;0,K23*I23,"")</f>
      </c>
      <c r="M23" s="52"/>
      <c r="N23" t="str">
        <f>IF(K23&gt;0,COUNTIF($K$7:K23,"&gt;0"),"")</f>
      </c>
      <c r="O23" t="s">
        <v>98</v>
      </c>
      <c r="P23" t="s">
        <v>95</v>
      </c>
      <c r="Q23" t="s">
        <v>95</v>
      </c>
    </row>
    <row r="24" spans="1:18" customHeight="1" ht="58">
      <c r="A24" s="16"/>
      <c r="B24" s="18" t="s">
        <v>100</v>
      </c>
      <c r="C24" s="17" t="s">
        <v>83</v>
      </c>
      <c r="D24" s="17" t="s">
        <v>84</v>
      </c>
      <c r="E24" s="17" t="s">
        <v>101</v>
      </c>
      <c r="F24" s="19"/>
      <c r="G24" s="20">
        <v>1.0</v>
      </c>
      <c r="H24" s="21"/>
      <c r="I24" s="21">
        <v>9.0</v>
      </c>
      <c r="J24" s="22">
        <v>7362.0</v>
      </c>
      <c r="K24" s="50"/>
      <c r="L24" s="21" t="str">
        <f>IF(K24&gt;0,K24*I24,"")</f>
      </c>
      <c r="M24" s="52"/>
      <c r="N24" t="str">
        <f>IF(K24&gt;0,COUNTIF($K$7:K24,"&gt;0"),"")</f>
      </c>
      <c r="O24" t="s">
        <v>102</v>
      </c>
      <c r="P24" t="s">
        <v>99</v>
      </c>
      <c r="Q24" t="s">
        <v>99</v>
      </c>
    </row>
    <row r="25" spans="1:18" customHeight="1" ht="58">
      <c r="A25" s="16"/>
      <c r="B25" s="18" t="s">
        <v>104</v>
      </c>
      <c r="C25" s="17" t="s">
        <v>83</v>
      </c>
      <c r="D25" s="17" t="s">
        <v>84</v>
      </c>
      <c r="E25" s="17" t="s">
        <v>105</v>
      </c>
      <c r="F25" s="19"/>
      <c r="G25" s="20">
        <v>1.0</v>
      </c>
      <c r="H25" s="21"/>
      <c r="I25" s="21">
        <v>5.0</v>
      </c>
      <c r="J25" s="22">
        <v>2335.0</v>
      </c>
      <c r="K25" s="50"/>
      <c r="L25" s="21" t="str">
        <f>IF(K25&gt;0,K25*I25,"")</f>
      </c>
      <c r="M25" s="52"/>
      <c r="N25" t="str">
        <f>IF(K25&gt;0,COUNTIF($K$7:K25,"&gt;0"),"")</f>
      </c>
      <c r="O25" t="s">
        <v>106</v>
      </c>
      <c r="P25" t="s">
        <v>103</v>
      </c>
      <c r="Q25" t="s">
        <v>103</v>
      </c>
    </row>
    <row r="26" spans="1:18" customHeight="1" ht="58">
      <c r="A26" s="16"/>
      <c r="B26" s="18" t="s">
        <v>108</v>
      </c>
      <c r="C26" s="17" t="s">
        <v>83</v>
      </c>
      <c r="D26" s="17" t="s">
        <v>84</v>
      </c>
      <c r="E26" s="17" t="s">
        <v>109</v>
      </c>
      <c r="F26" s="19"/>
      <c r="G26" s="20">
        <v>1.0</v>
      </c>
      <c r="H26" s="21"/>
      <c r="I26" s="21">
        <v>5.0</v>
      </c>
      <c r="J26" s="22">
        <v>2775.0</v>
      </c>
      <c r="K26" s="50"/>
      <c r="L26" s="21" t="str">
        <f>IF(K26&gt;0,K26*I26,"")</f>
      </c>
      <c r="M26" s="52"/>
      <c r="N26" t="str">
        <f>IF(K26&gt;0,COUNTIF($K$7:K26,"&gt;0"),"")</f>
      </c>
      <c r="O26" t="s">
        <v>110</v>
      </c>
      <c r="P26" t="s">
        <v>107</v>
      </c>
      <c r="Q26" t="s">
        <v>107</v>
      </c>
    </row>
    <row r="27" spans="1:18" customHeight="1" ht="58">
      <c r="A27" s="16"/>
      <c r="B27" s="18" t="s">
        <v>112</v>
      </c>
      <c r="C27" s="17" t="s">
        <v>83</v>
      </c>
      <c r="D27" s="17" t="s">
        <v>84</v>
      </c>
      <c r="E27" s="17" t="s">
        <v>113</v>
      </c>
      <c r="F27" s="19"/>
      <c r="G27" s="20">
        <v>1.0</v>
      </c>
      <c r="H27" s="21"/>
      <c r="I27" s="21">
        <v>4.0</v>
      </c>
      <c r="J27" s="22">
        <v>2089.0</v>
      </c>
      <c r="K27" s="50"/>
      <c r="L27" s="21" t="str">
        <f>IF(K27&gt;0,K27*I27,"")</f>
      </c>
      <c r="M27" s="52"/>
      <c r="N27" t="str">
        <f>IF(K27&gt;0,COUNTIF($K$7:K27,"&gt;0"),"")</f>
      </c>
      <c r="O27" t="s">
        <v>114</v>
      </c>
      <c r="P27" t="s">
        <v>111</v>
      </c>
      <c r="Q27" t="s">
        <v>111</v>
      </c>
    </row>
    <row r="28" spans="1:18" customHeight="1" ht="58">
      <c r="A28" s="16"/>
      <c r="B28" s="18" t="s">
        <v>116</v>
      </c>
      <c r="C28" s="17" t="s">
        <v>83</v>
      </c>
      <c r="D28" s="17" t="s">
        <v>84</v>
      </c>
      <c r="E28" s="17" t="s">
        <v>117</v>
      </c>
      <c r="F28" s="19"/>
      <c r="G28" s="20">
        <v>1.0</v>
      </c>
      <c r="H28" s="21"/>
      <c r="I28" s="21">
        <v>4.0</v>
      </c>
      <c r="J28" s="22">
        <v>2892.0</v>
      </c>
      <c r="K28" s="50"/>
      <c r="L28" s="21" t="str">
        <f>IF(K28&gt;0,K28*I28,"")</f>
      </c>
      <c r="M28" s="52"/>
      <c r="N28" t="str">
        <f>IF(K28&gt;0,COUNTIF($K$7:K28,"&gt;0"),"")</f>
      </c>
      <c r="O28" t="s">
        <v>118</v>
      </c>
      <c r="P28" t="s">
        <v>115</v>
      </c>
      <c r="Q28" t="s">
        <v>115</v>
      </c>
    </row>
    <row r="29" spans="1:18" customHeight="1" ht="58">
      <c r="A29" s="16"/>
      <c r="B29" s="18" t="s">
        <v>120</v>
      </c>
      <c r="C29" s="17" t="s">
        <v>83</v>
      </c>
      <c r="D29" s="17" t="s">
        <v>84</v>
      </c>
      <c r="E29" s="17" t="s">
        <v>121</v>
      </c>
      <c r="F29" s="19"/>
      <c r="G29" s="20">
        <v>1.0</v>
      </c>
      <c r="H29" s="21"/>
      <c r="I29" s="21">
        <v>6.0</v>
      </c>
      <c r="J29" s="22">
        <v>4014.0</v>
      </c>
      <c r="K29" s="50"/>
      <c r="L29" s="21" t="str">
        <f>IF(K29&gt;0,K29*I29,"")</f>
      </c>
      <c r="M29" s="52"/>
      <c r="N29" t="str">
        <f>IF(K29&gt;0,COUNTIF($K$7:K29,"&gt;0"),"")</f>
      </c>
      <c r="O29" t="s">
        <v>122</v>
      </c>
      <c r="P29" t="s">
        <v>119</v>
      </c>
      <c r="Q29" t="s">
        <v>119</v>
      </c>
    </row>
    <row r="30" spans="1:18" customHeight="1" ht="58">
      <c r="A30" s="16"/>
      <c r="B30" s="18" t="s">
        <v>124</v>
      </c>
      <c r="C30" s="17" t="s">
        <v>83</v>
      </c>
      <c r="D30" s="17" t="s">
        <v>84</v>
      </c>
      <c r="E30" s="17" t="s">
        <v>125</v>
      </c>
      <c r="F30" s="19"/>
      <c r="G30" s="20">
        <v>1.0</v>
      </c>
      <c r="H30" s="21"/>
      <c r="I30" s="21">
        <v>7.0</v>
      </c>
      <c r="J30" s="22">
        <v>3254.0</v>
      </c>
      <c r="K30" s="50"/>
      <c r="L30" s="21" t="str">
        <f>IF(K30&gt;0,K30*I30,"")</f>
      </c>
      <c r="M30" s="52"/>
      <c r="N30" t="str">
        <f>IF(K30&gt;0,COUNTIF($K$7:K30,"&gt;0"),"")</f>
      </c>
      <c r="O30" t="s">
        <v>126</v>
      </c>
      <c r="P30" t="s">
        <v>123</v>
      </c>
      <c r="Q30" t="s">
        <v>123</v>
      </c>
    </row>
    <row r="31" spans="1:18" customHeight="1" ht="58">
      <c r="A31" s="16"/>
      <c r="B31" s="18" t="s">
        <v>128</v>
      </c>
      <c r="C31" s="17" t="s">
        <v>83</v>
      </c>
      <c r="D31" s="17" t="s">
        <v>84</v>
      </c>
      <c r="E31" s="17" t="s">
        <v>129</v>
      </c>
      <c r="F31" s="19"/>
      <c r="G31" s="20">
        <v>1.0</v>
      </c>
      <c r="H31" s="21"/>
      <c r="I31" s="21">
        <v>7.0</v>
      </c>
      <c r="J31" s="22">
        <v>4266.0</v>
      </c>
      <c r="K31" s="50"/>
      <c r="L31" s="21" t="str">
        <f>IF(K31&gt;0,K31*I31,"")</f>
      </c>
      <c r="M31" s="52"/>
      <c r="N31" t="str">
        <f>IF(K31&gt;0,COUNTIF($K$7:K31,"&gt;0"),"")</f>
      </c>
      <c r="O31" t="s">
        <v>130</v>
      </c>
      <c r="P31" t="s">
        <v>127</v>
      </c>
      <c r="Q31" t="s">
        <v>127</v>
      </c>
    </row>
    <row r="32" spans="1:18" customHeight="1" ht="58">
      <c r="A32" s="16"/>
      <c r="B32" s="18" t="s">
        <v>132</v>
      </c>
      <c r="C32" s="17" t="s">
        <v>83</v>
      </c>
      <c r="D32" s="17" t="s">
        <v>84</v>
      </c>
      <c r="E32" s="17" t="s">
        <v>133</v>
      </c>
      <c r="F32" s="19"/>
      <c r="G32" s="20">
        <v>1.0</v>
      </c>
      <c r="H32" s="21"/>
      <c r="I32" s="21">
        <v>6.0</v>
      </c>
      <c r="J32" s="22">
        <v>190.0</v>
      </c>
      <c r="K32" s="50"/>
      <c r="L32" s="21" t="str">
        <f>IF(K32&gt;0,K32*I32,"")</f>
      </c>
      <c r="M32" s="52"/>
      <c r="N32" t="str">
        <f>IF(K32&gt;0,COUNTIF($K$7:K32,"&gt;0"),"")</f>
      </c>
      <c r="O32" t="s">
        <v>134</v>
      </c>
      <c r="P32" t="s">
        <v>131</v>
      </c>
      <c r="Q32" t="s">
        <v>131</v>
      </c>
    </row>
    <row r="33" spans="1:18" customHeight="1" ht="58">
      <c r="A33" s="16"/>
      <c r="B33" s="18" t="s">
        <v>136</v>
      </c>
      <c r="C33" s="17" t="s">
        <v>83</v>
      </c>
      <c r="D33" s="17" t="s">
        <v>84</v>
      </c>
      <c r="E33" s="17" t="s">
        <v>137</v>
      </c>
      <c r="F33" s="19"/>
      <c r="G33" s="20">
        <v>1.0</v>
      </c>
      <c r="H33" s="21"/>
      <c r="I33" s="21">
        <v>5.0</v>
      </c>
      <c r="J33" s="22">
        <v>2065.0</v>
      </c>
      <c r="K33" s="50"/>
      <c r="L33" s="21" t="str">
        <f>IF(K33&gt;0,K33*I33,"")</f>
      </c>
      <c r="M33" s="52"/>
      <c r="N33" t="str">
        <f>IF(K33&gt;0,COUNTIF($K$7:K33,"&gt;0"),"")</f>
      </c>
      <c r="O33" t="s">
        <v>138</v>
      </c>
      <c r="P33" t="s">
        <v>135</v>
      </c>
      <c r="Q33" t="s">
        <v>135</v>
      </c>
    </row>
    <row r="34" spans="1:18" customHeight="1" ht="58">
      <c r="A34" s="16"/>
      <c r="B34" s="18" t="s">
        <v>140</v>
      </c>
      <c r="C34" s="17" t="s">
        <v>83</v>
      </c>
      <c r="D34" s="17" t="s">
        <v>84</v>
      </c>
      <c r="E34" s="17" t="s">
        <v>141</v>
      </c>
      <c r="F34" s="19"/>
      <c r="G34" s="20">
        <v>1.0</v>
      </c>
      <c r="H34" s="21"/>
      <c r="I34" s="21">
        <v>5.0</v>
      </c>
      <c r="J34" s="22">
        <v>3500.0</v>
      </c>
      <c r="K34" s="50"/>
      <c r="L34" s="21" t="str">
        <f>IF(K34&gt;0,K34*I34,"")</f>
      </c>
      <c r="M34" s="52"/>
      <c r="N34" t="str">
        <f>IF(K34&gt;0,COUNTIF($K$7:K34,"&gt;0"),"")</f>
      </c>
      <c r="O34" t="s">
        <v>142</v>
      </c>
      <c r="P34" t="s">
        <v>139</v>
      </c>
      <c r="Q34" t="s">
        <v>139</v>
      </c>
    </row>
    <row r="35" spans="1:18" customHeight="1" ht="58">
      <c r="A35" s="16"/>
      <c r="B35" s="18" t="s">
        <v>144</v>
      </c>
      <c r="C35" s="17" t="s">
        <v>83</v>
      </c>
      <c r="D35" s="17" t="s">
        <v>84</v>
      </c>
      <c r="E35" s="17" t="s">
        <v>145</v>
      </c>
      <c r="F35" s="19"/>
      <c r="G35" s="20">
        <v>1.0</v>
      </c>
      <c r="H35" s="21"/>
      <c r="I35" s="21">
        <v>5.0</v>
      </c>
      <c r="J35" s="22">
        <v>5785.0</v>
      </c>
      <c r="K35" s="50"/>
      <c r="L35" s="21" t="str">
        <f>IF(K35&gt;0,K35*I35,"")</f>
      </c>
      <c r="M35" s="52"/>
      <c r="N35" t="str">
        <f>IF(K35&gt;0,COUNTIF($K$7:K35,"&gt;0"),"")</f>
      </c>
      <c r="O35" t="s">
        <v>146</v>
      </c>
      <c r="P35" t="s">
        <v>143</v>
      </c>
      <c r="Q35" t="s">
        <v>143</v>
      </c>
    </row>
    <row r="36" spans="1:18" customHeight="1" ht="58">
      <c r="A36" s="16"/>
      <c r="B36" s="18" t="s">
        <v>148</v>
      </c>
      <c r="C36" s="17" t="s">
        <v>83</v>
      </c>
      <c r="D36" s="17" t="s">
        <v>84</v>
      </c>
      <c r="E36" s="17" t="s">
        <v>149</v>
      </c>
      <c r="F36" s="19"/>
      <c r="G36" s="20">
        <v>1.0</v>
      </c>
      <c r="H36" s="21"/>
      <c r="I36" s="21">
        <v>4.0</v>
      </c>
      <c r="J36" s="22">
        <v>4250.0</v>
      </c>
      <c r="K36" s="50"/>
      <c r="L36" s="21" t="str">
        <f>IF(K36&gt;0,K36*I36,"")</f>
      </c>
      <c r="M36" s="52"/>
      <c r="N36" t="str">
        <f>IF(K36&gt;0,COUNTIF($K$7:K36,"&gt;0"),"")</f>
      </c>
      <c r="O36" t="s">
        <v>150</v>
      </c>
      <c r="P36" t="s">
        <v>147</v>
      </c>
      <c r="Q36" t="s">
        <v>147</v>
      </c>
    </row>
    <row r="37" spans="1:18" customHeight="1" ht="58">
      <c r="A37" s="16"/>
      <c r="B37" s="18" t="s">
        <v>152</v>
      </c>
      <c r="C37" s="17" t="s">
        <v>83</v>
      </c>
      <c r="D37" s="17" t="s">
        <v>84</v>
      </c>
      <c r="E37" s="17" t="s">
        <v>153</v>
      </c>
      <c r="F37" s="19"/>
      <c r="G37" s="20">
        <v>1.0</v>
      </c>
      <c r="H37" s="21"/>
      <c r="I37" s="21">
        <v>4.0</v>
      </c>
      <c r="J37" s="22">
        <v>4054.0</v>
      </c>
      <c r="K37" s="50"/>
      <c r="L37" s="21" t="str">
        <f>IF(K37&gt;0,K37*I37,"")</f>
      </c>
      <c r="M37" s="52"/>
      <c r="N37" t="str">
        <f>IF(K37&gt;0,COUNTIF($K$7:K37,"&gt;0"),"")</f>
      </c>
      <c r="O37" t="s">
        <v>154</v>
      </c>
      <c r="P37" t="s">
        <v>151</v>
      </c>
      <c r="Q37" t="s">
        <v>151</v>
      </c>
    </row>
    <row r="38" spans="1:18" customHeight="1" ht="58">
      <c r="A38" s="16"/>
      <c r="B38" s="18" t="s">
        <v>156</v>
      </c>
      <c r="C38" s="17" t="s">
        <v>83</v>
      </c>
      <c r="D38" s="17" t="s">
        <v>84</v>
      </c>
      <c r="E38" s="17" t="s">
        <v>157</v>
      </c>
      <c r="F38" s="19"/>
      <c r="G38" s="20">
        <v>1.0</v>
      </c>
      <c r="H38" s="21"/>
      <c r="I38" s="21">
        <v>6.0</v>
      </c>
      <c r="J38" s="22">
        <v>2766.0</v>
      </c>
      <c r="K38" s="50"/>
      <c r="L38" s="21" t="str">
        <f>IF(K38&gt;0,K38*I38,"")</f>
      </c>
      <c r="M38" s="52"/>
      <c r="N38" t="str">
        <f>IF(K38&gt;0,COUNTIF($K$7:K38,"&gt;0"),"")</f>
      </c>
      <c r="O38" t="s">
        <v>158</v>
      </c>
      <c r="P38" t="s">
        <v>155</v>
      </c>
      <c r="Q38" t="s">
        <v>155</v>
      </c>
    </row>
    <row r="39" spans="1:18" customHeight="1" ht="58">
      <c r="A39" s="16"/>
      <c r="B39" s="18" t="s">
        <v>160</v>
      </c>
      <c r="C39" s="17" t="s">
        <v>83</v>
      </c>
      <c r="D39" s="17" t="s">
        <v>84</v>
      </c>
      <c r="E39" s="17" t="s">
        <v>161</v>
      </c>
      <c r="F39" s="19"/>
      <c r="G39" s="20">
        <v>1.0</v>
      </c>
      <c r="H39" s="21"/>
      <c r="I39" s="21">
        <v>6.0</v>
      </c>
      <c r="J39" s="22">
        <v>3117.0</v>
      </c>
      <c r="K39" s="50"/>
      <c r="L39" s="21" t="str">
        <f>IF(K39&gt;0,K39*I39,"")</f>
      </c>
      <c r="M39" s="52"/>
      <c r="N39" t="str">
        <f>IF(K39&gt;0,COUNTIF($K$7:K39,"&gt;0"),"")</f>
      </c>
      <c r="O39" t="s">
        <v>162</v>
      </c>
      <c r="P39" t="s">
        <v>159</v>
      </c>
      <c r="Q39" t="s">
        <v>159</v>
      </c>
    </row>
    <row r="40" spans="1:18" customHeight="1" ht="58">
      <c r="A40" s="16"/>
      <c r="B40" s="18" t="s">
        <v>164</v>
      </c>
      <c r="C40" s="17" t="s">
        <v>83</v>
      </c>
      <c r="D40" s="17" t="s">
        <v>84</v>
      </c>
      <c r="E40" s="17" t="s">
        <v>165</v>
      </c>
      <c r="F40" s="19"/>
      <c r="G40" s="20">
        <v>1.0</v>
      </c>
      <c r="H40" s="21"/>
      <c r="I40" s="21">
        <v>5.0</v>
      </c>
      <c r="J40" s="22">
        <v>3936.0</v>
      </c>
      <c r="K40" s="50"/>
      <c r="L40" s="21" t="str">
        <f>IF(K40&gt;0,K40*I40,"")</f>
      </c>
      <c r="M40" s="52"/>
      <c r="N40" t="str">
        <f>IF(K40&gt;0,COUNTIF($K$7:K40,"&gt;0"),"")</f>
      </c>
      <c r="O40" t="s">
        <v>166</v>
      </c>
      <c r="P40" t="s">
        <v>163</v>
      </c>
      <c r="Q40" t="s">
        <v>163</v>
      </c>
    </row>
    <row r="41" spans="1:18" customHeight="1" ht="58">
      <c r="A41" s="16"/>
      <c r="B41" s="18" t="s">
        <v>168</v>
      </c>
      <c r="C41" s="17" t="s">
        <v>169</v>
      </c>
      <c r="D41" s="17"/>
      <c r="E41" s="17"/>
      <c r="F41" s="19"/>
      <c r="G41" s="20">
        <v>1.0</v>
      </c>
      <c r="H41" s="21"/>
      <c r="I41" s="21">
        <v>55.0</v>
      </c>
      <c r="J41" s="22">
        <v>1.0</v>
      </c>
      <c r="K41" s="50"/>
      <c r="L41" s="21" t="str">
        <f>IF(K41&gt;0,K41*I41,"")</f>
      </c>
      <c r="M41" s="52"/>
      <c r="N41" t="str">
        <f>IF(K41&gt;0,COUNTIF($K$7:K41,"&gt;0"),"")</f>
      </c>
      <c r="O41" t="s">
        <v>170</v>
      </c>
      <c r="P41" t="s">
        <v>167</v>
      </c>
      <c r="Q41" t="s">
        <v>167</v>
      </c>
    </row>
    <row r="42" spans="1:18" customHeight="1" ht="58">
      <c r="A42" s="16"/>
      <c r="B42" s="18" t="s">
        <v>172</v>
      </c>
      <c r="C42" s="17" t="s">
        <v>173</v>
      </c>
      <c r="D42" s="17" t="s">
        <v>174</v>
      </c>
      <c r="E42" s="17"/>
      <c r="F42" s="19"/>
      <c r="G42" s="20">
        <v>1.0</v>
      </c>
      <c r="H42" s="21"/>
      <c r="I42" s="21">
        <v>132.0</v>
      </c>
      <c r="J42" s="22">
        <v>781.0</v>
      </c>
      <c r="K42" s="50"/>
      <c r="L42" s="21" t="str">
        <f>IF(K42&gt;0,K42*I42,"")</f>
      </c>
      <c r="M42" s="52"/>
      <c r="N42" t="str">
        <f>IF(K42&gt;0,COUNTIF($K$7:K42,"&gt;0"),"")</f>
      </c>
      <c r="O42" t="s">
        <v>175</v>
      </c>
      <c r="P42" t="s">
        <v>171</v>
      </c>
      <c r="Q42" t="s">
        <v>171</v>
      </c>
    </row>
    <row r="43" spans="1:18" customHeight="1" ht="58">
      <c r="A43" s="16"/>
      <c r="B43" s="18" t="s">
        <v>177</v>
      </c>
      <c r="C43" s="17" t="s">
        <v>173</v>
      </c>
      <c r="D43" s="17" t="s">
        <v>178</v>
      </c>
      <c r="E43" s="17"/>
      <c r="F43" s="19"/>
      <c r="G43" s="20">
        <v>1.0</v>
      </c>
      <c r="H43" s="21"/>
      <c r="I43" s="21">
        <v>99.0</v>
      </c>
      <c r="J43" s="22">
        <v>65.0</v>
      </c>
      <c r="K43" s="50"/>
      <c r="L43" s="21" t="str">
        <f>IF(K43&gt;0,K43*I43,"")</f>
      </c>
      <c r="M43" s="52"/>
      <c r="N43" t="str">
        <f>IF(K43&gt;0,COUNTIF($K$7:K43,"&gt;0"),"")</f>
      </c>
      <c r="O43" t="s">
        <v>179</v>
      </c>
      <c r="P43" t="s">
        <v>176</v>
      </c>
      <c r="Q43" t="s">
        <v>176</v>
      </c>
    </row>
    <row r="44" spans="1:18" customHeight="1" ht="58">
      <c r="A44" s="16"/>
      <c r="B44" s="18" t="s">
        <v>181</v>
      </c>
      <c r="C44" s="17" t="s">
        <v>173</v>
      </c>
      <c r="D44" s="17" t="s">
        <v>182</v>
      </c>
      <c r="E44" s="17"/>
      <c r="F44" s="19"/>
      <c r="G44" s="20">
        <v>1.0</v>
      </c>
      <c r="H44" s="21"/>
      <c r="I44" s="21">
        <v>37.0</v>
      </c>
      <c r="J44" s="22">
        <v>11146.0</v>
      </c>
      <c r="K44" s="50"/>
      <c r="L44" s="21" t="str">
        <f>IF(K44&gt;0,K44*I44,"")</f>
      </c>
      <c r="M44" s="52"/>
      <c r="N44" t="str">
        <f>IF(K44&gt;0,COUNTIF($K$7:K44,"&gt;0"),"")</f>
      </c>
      <c r="O44" t="s">
        <v>183</v>
      </c>
      <c r="P44" t="s">
        <v>180</v>
      </c>
      <c r="Q44" t="s">
        <v>180</v>
      </c>
    </row>
    <row r="45" spans="1:18" customHeight="1" ht="58">
      <c r="A45" s="16"/>
      <c r="B45" s="18" t="s">
        <v>185</v>
      </c>
      <c r="C45" s="17" t="s">
        <v>173</v>
      </c>
      <c r="D45" s="17" t="s">
        <v>186</v>
      </c>
      <c r="E45" s="17"/>
      <c r="F45" s="19"/>
      <c r="G45" s="20">
        <v>1.0</v>
      </c>
      <c r="H45" s="21"/>
      <c r="I45" s="21">
        <v>66.0</v>
      </c>
      <c r="J45" s="22">
        <v>1698.0</v>
      </c>
      <c r="K45" s="50"/>
      <c r="L45" s="21" t="str">
        <f>IF(K45&gt;0,K45*I45,"")</f>
      </c>
      <c r="M45" s="52"/>
      <c r="N45" t="str">
        <f>IF(K45&gt;0,COUNTIF($K$7:K45,"&gt;0"),"")</f>
      </c>
      <c r="O45" t="s">
        <v>187</v>
      </c>
      <c r="P45" t="s">
        <v>184</v>
      </c>
      <c r="Q45" t="s">
        <v>184</v>
      </c>
    </row>
    <row r="46" spans="1:18" customHeight="1" ht="58">
      <c r="A46" s="16"/>
      <c r="B46" s="18" t="s">
        <v>189</v>
      </c>
      <c r="C46" s="17" t="s">
        <v>173</v>
      </c>
      <c r="D46" s="17" t="s">
        <v>190</v>
      </c>
      <c r="E46" s="17"/>
      <c r="F46" s="19"/>
      <c r="G46" s="20">
        <v>1.0</v>
      </c>
      <c r="H46" s="21"/>
      <c r="I46" s="21">
        <v>15.0</v>
      </c>
      <c r="J46" s="22">
        <v>2207.0</v>
      </c>
      <c r="K46" s="50"/>
      <c r="L46" s="21" t="str">
        <f>IF(K46&gt;0,K46*I46,"")</f>
      </c>
      <c r="M46" s="52"/>
      <c r="N46" t="str">
        <f>IF(K46&gt;0,COUNTIF($K$7:K46,"&gt;0"),"")</f>
      </c>
      <c r="O46" t="s">
        <v>191</v>
      </c>
      <c r="P46" t="s">
        <v>188</v>
      </c>
      <c r="Q46" t="s">
        <v>188</v>
      </c>
    </row>
    <row r="47" spans="1:18" customHeight="1" ht="58">
      <c r="A47" s="16"/>
      <c r="B47" s="18" t="s">
        <v>193</v>
      </c>
      <c r="C47" s="17" t="s">
        <v>194</v>
      </c>
      <c r="D47" s="17" t="s">
        <v>195</v>
      </c>
      <c r="E47" s="17"/>
      <c r="F47" s="19"/>
      <c r="G47" s="20">
        <v>1.0</v>
      </c>
      <c r="H47" s="21"/>
      <c r="I47" s="21">
        <v>266.0</v>
      </c>
      <c r="J47" s="22">
        <v>26.0</v>
      </c>
      <c r="K47" s="50"/>
      <c r="L47" s="21" t="str">
        <f>IF(K47&gt;0,K47*I47,"")</f>
      </c>
      <c r="M47" s="52"/>
      <c r="N47" t="str">
        <f>IF(K47&gt;0,COUNTIF($K$7:K47,"&gt;0"),"")</f>
      </c>
      <c r="O47" t="s">
        <v>196</v>
      </c>
      <c r="P47" t="s">
        <v>192</v>
      </c>
      <c r="Q47" t="s">
        <v>192</v>
      </c>
    </row>
    <row r="48" spans="1:18" customHeight="1" ht="58">
      <c r="A48" s="16"/>
      <c r="B48" s="18" t="s">
        <v>198</v>
      </c>
      <c r="C48" s="17" t="s">
        <v>199</v>
      </c>
      <c r="D48" s="17" t="s">
        <v>84</v>
      </c>
      <c r="E48" s="17" t="s">
        <v>200</v>
      </c>
      <c r="F48" s="19"/>
      <c r="G48" s="20">
        <v>1.0</v>
      </c>
      <c r="H48" s="21"/>
      <c r="I48" s="21">
        <v>55.0</v>
      </c>
      <c r="J48" s="22">
        <v>287.0</v>
      </c>
      <c r="K48" s="50"/>
      <c r="L48" s="21" t="str">
        <f>IF(K48&gt;0,K48*I48,"")</f>
      </c>
      <c r="M48" s="52"/>
      <c r="N48" t="str">
        <f>IF(K48&gt;0,COUNTIF($K$7:K48,"&gt;0"),"")</f>
      </c>
      <c r="O48" t="s">
        <v>201</v>
      </c>
      <c r="P48" t="s">
        <v>197</v>
      </c>
      <c r="Q48" t="s">
        <v>197</v>
      </c>
    </row>
    <row r="49" spans="1:18" customHeight="1" ht="58">
      <c r="A49" s="16"/>
      <c r="B49" s="18" t="s">
        <v>203</v>
      </c>
      <c r="C49" s="17" t="s">
        <v>204</v>
      </c>
      <c r="D49" s="17" t="s">
        <v>84</v>
      </c>
      <c r="E49" s="17" t="s">
        <v>205</v>
      </c>
      <c r="F49" s="19"/>
      <c r="G49" s="20">
        <v>1.0</v>
      </c>
      <c r="H49" s="21"/>
      <c r="I49" s="21">
        <v>55.0</v>
      </c>
      <c r="J49" s="22">
        <v>399.0</v>
      </c>
      <c r="K49" s="50"/>
      <c r="L49" s="21" t="str">
        <f>IF(K49&gt;0,K49*I49,"")</f>
      </c>
      <c r="M49" s="52"/>
      <c r="N49" t="str">
        <f>IF(K49&gt;0,COUNTIF($K$7:K49,"&gt;0"),"")</f>
      </c>
      <c r="O49" t="s">
        <v>206</v>
      </c>
      <c r="P49" t="s">
        <v>202</v>
      </c>
      <c r="Q49" t="s">
        <v>202</v>
      </c>
    </row>
    <row r="50" spans="1:18" customHeight="1" ht="58">
      <c r="A50" s="16"/>
      <c r="B50" s="18" t="s">
        <v>208</v>
      </c>
      <c r="C50" s="17" t="s">
        <v>204</v>
      </c>
      <c r="D50" s="17" t="s">
        <v>84</v>
      </c>
      <c r="E50" s="17" t="s">
        <v>209</v>
      </c>
      <c r="F50" s="19"/>
      <c r="G50" s="20">
        <v>1.0</v>
      </c>
      <c r="H50" s="21"/>
      <c r="I50" s="21">
        <v>58.0</v>
      </c>
      <c r="J50" s="22">
        <v>2.0</v>
      </c>
      <c r="K50" s="50"/>
      <c r="L50" s="21" t="str">
        <f>IF(K50&gt;0,K50*I50,"")</f>
      </c>
      <c r="M50" s="52"/>
      <c r="N50" t="str">
        <f>IF(K50&gt;0,COUNTIF($K$7:K50,"&gt;0"),"")</f>
      </c>
      <c r="O50" t="s">
        <v>210</v>
      </c>
      <c r="P50" t="s">
        <v>207</v>
      </c>
      <c r="Q50" t="s">
        <v>207</v>
      </c>
    </row>
    <row r="51" spans="1:18" customHeight="1" ht="58">
      <c r="A51" s="16"/>
      <c r="B51" s="18" t="s">
        <v>212</v>
      </c>
      <c r="C51" s="17" t="s">
        <v>204</v>
      </c>
      <c r="D51" s="17" t="s">
        <v>84</v>
      </c>
      <c r="E51" s="17" t="s">
        <v>213</v>
      </c>
      <c r="F51" s="19"/>
      <c r="G51" s="20">
        <v>1.0</v>
      </c>
      <c r="H51" s="21"/>
      <c r="I51" s="21">
        <v>55.0</v>
      </c>
      <c r="J51" s="22">
        <v>278.0</v>
      </c>
      <c r="K51" s="50"/>
      <c r="L51" s="21" t="str">
        <f>IF(K51&gt;0,K51*I51,"")</f>
      </c>
      <c r="M51" s="52"/>
      <c r="N51" t="str">
        <f>IF(K51&gt;0,COUNTIF($K$7:K51,"&gt;0"),"")</f>
      </c>
      <c r="O51" t="s">
        <v>214</v>
      </c>
      <c r="P51" t="s">
        <v>211</v>
      </c>
      <c r="Q51" t="s">
        <v>211</v>
      </c>
    </row>
    <row r="52" spans="1:18" customHeight="1" ht="58">
      <c r="A52" s="16"/>
      <c r="B52" s="18" t="s">
        <v>216</v>
      </c>
      <c r="C52" s="17" t="s">
        <v>204</v>
      </c>
      <c r="D52" s="17" t="s">
        <v>84</v>
      </c>
      <c r="E52" s="17" t="s">
        <v>217</v>
      </c>
      <c r="F52" s="19"/>
      <c r="G52" s="20">
        <v>1.0</v>
      </c>
      <c r="H52" s="21"/>
      <c r="I52" s="21">
        <v>55.0</v>
      </c>
      <c r="J52" s="22">
        <v>454.0</v>
      </c>
      <c r="K52" s="50"/>
      <c r="L52" s="21" t="str">
        <f>IF(K52&gt;0,K52*I52,"")</f>
      </c>
      <c r="M52" s="52"/>
      <c r="N52" t="str">
        <f>IF(K52&gt;0,COUNTIF($K$7:K52,"&gt;0"),"")</f>
      </c>
      <c r="O52" t="s">
        <v>218</v>
      </c>
      <c r="P52" t="s">
        <v>215</v>
      </c>
      <c r="Q52" t="s">
        <v>215</v>
      </c>
    </row>
    <row r="53" spans="1:18" customHeight="1" ht="58">
      <c r="A53" s="16"/>
      <c r="B53" s="18" t="s">
        <v>220</v>
      </c>
      <c r="C53" s="17" t="s">
        <v>204</v>
      </c>
      <c r="D53" s="17" t="s">
        <v>84</v>
      </c>
      <c r="E53" s="17" t="s">
        <v>221</v>
      </c>
      <c r="F53" s="19"/>
      <c r="G53" s="20">
        <v>1.0</v>
      </c>
      <c r="H53" s="21"/>
      <c r="I53" s="21">
        <v>55.0</v>
      </c>
      <c r="J53" s="22">
        <v>255.0</v>
      </c>
      <c r="K53" s="50"/>
      <c r="L53" s="21" t="str">
        <f>IF(K53&gt;0,K53*I53,"")</f>
      </c>
      <c r="M53" s="52"/>
      <c r="N53" t="str">
        <f>IF(K53&gt;0,COUNTIF($K$7:K53,"&gt;0"),"")</f>
      </c>
      <c r="O53" t="s">
        <v>222</v>
      </c>
      <c r="P53" t="s">
        <v>219</v>
      </c>
      <c r="Q53" t="s">
        <v>219</v>
      </c>
    </row>
    <row r="54" spans="1:18" customHeight="1" ht="58">
      <c r="A54" s="16"/>
      <c r="B54" s="18" t="s">
        <v>224</v>
      </c>
      <c r="C54" s="17" t="s">
        <v>204</v>
      </c>
      <c r="D54" s="17" t="s">
        <v>84</v>
      </c>
      <c r="E54" s="17" t="s">
        <v>225</v>
      </c>
      <c r="F54" s="19"/>
      <c r="G54" s="20">
        <v>1.0</v>
      </c>
      <c r="H54" s="21"/>
      <c r="I54" s="21">
        <v>55.0</v>
      </c>
      <c r="J54" s="22">
        <v>103.0</v>
      </c>
      <c r="K54" s="50"/>
      <c r="L54" s="21" t="str">
        <f>IF(K54&gt;0,K54*I54,"")</f>
      </c>
      <c r="M54" s="52"/>
      <c r="N54" t="str">
        <f>IF(K54&gt;0,COUNTIF($K$7:K54,"&gt;0"),"")</f>
      </c>
      <c r="O54" t="s">
        <v>226</v>
      </c>
      <c r="P54" t="s">
        <v>223</v>
      </c>
      <c r="Q54" t="s">
        <v>223</v>
      </c>
    </row>
    <row r="55" spans="1:18" customHeight="1" ht="58">
      <c r="A55" s="16"/>
      <c r="B55" s="18" t="s">
        <v>228</v>
      </c>
      <c r="C55" s="17" t="s">
        <v>204</v>
      </c>
      <c r="D55" s="17" t="s">
        <v>84</v>
      </c>
      <c r="E55" s="17" t="s">
        <v>229</v>
      </c>
      <c r="F55" s="19"/>
      <c r="G55" s="20">
        <v>1.0</v>
      </c>
      <c r="H55" s="21"/>
      <c r="I55" s="21">
        <v>55.0</v>
      </c>
      <c r="J55" s="22">
        <v>316.0</v>
      </c>
      <c r="K55" s="50"/>
      <c r="L55" s="21" t="str">
        <f>IF(K55&gt;0,K55*I55,"")</f>
      </c>
      <c r="M55" s="52"/>
      <c r="N55" t="str">
        <f>IF(K55&gt;0,COUNTIF($K$7:K55,"&gt;0"),"")</f>
      </c>
      <c r="O55" t="s">
        <v>230</v>
      </c>
      <c r="P55" t="s">
        <v>227</v>
      </c>
      <c r="Q55" t="s">
        <v>227</v>
      </c>
    </row>
    <row r="56" spans="1:18" customHeight="1" ht="58">
      <c r="A56" s="16"/>
      <c r="B56" s="18" t="s">
        <v>232</v>
      </c>
      <c r="C56" s="17" t="s">
        <v>204</v>
      </c>
      <c r="D56" s="17" t="s">
        <v>84</v>
      </c>
      <c r="E56" s="17" t="s">
        <v>233</v>
      </c>
      <c r="F56" s="19"/>
      <c r="G56" s="20">
        <v>1.0</v>
      </c>
      <c r="H56" s="21"/>
      <c r="I56" s="21">
        <v>58.0</v>
      </c>
      <c r="J56" s="22">
        <v>3.0</v>
      </c>
      <c r="K56" s="50"/>
      <c r="L56" s="21" t="str">
        <f>IF(K56&gt;0,K56*I56,"")</f>
      </c>
      <c r="M56" s="52"/>
      <c r="N56" t="str">
        <f>IF(K56&gt;0,COUNTIF($K$7:K56,"&gt;0"),"")</f>
      </c>
      <c r="O56" t="s">
        <v>234</v>
      </c>
      <c r="P56" t="s">
        <v>231</v>
      </c>
      <c r="Q56" t="s">
        <v>231</v>
      </c>
    </row>
    <row r="57" spans="1:18" customHeight="1" ht="58">
      <c r="A57" s="16"/>
      <c r="B57" s="18" t="s">
        <v>236</v>
      </c>
      <c r="C57" s="17" t="s">
        <v>204</v>
      </c>
      <c r="D57" s="17" t="s">
        <v>84</v>
      </c>
      <c r="E57" s="17" t="s">
        <v>237</v>
      </c>
      <c r="F57" s="19"/>
      <c r="G57" s="20">
        <v>1.0</v>
      </c>
      <c r="H57" s="21"/>
      <c r="I57" s="21">
        <v>55.0</v>
      </c>
      <c r="J57" s="22">
        <v>94.0</v>
      </c>
      <c r="K57" s="50"/>
      <c r="L57" s="21" t="str">
        <f>IF(K57&gt;0,K57*I57,"")</f>
      </c>
      <c r="M57" s="52"/>
      <c r="N57" t="str">
        <f>IF(K57&gt;0,COUNTIF($K$7:K57,"&gt;0"),"")</f>
      </c>
      <c r="O57" t="s">
        <v>238</v>
      </c>
      <c r="P57" t="s">
        <v>235</v>
      </c>
      <c r="Q57" t="s">
        <v>235</v>
      </c>
    </row>
    <row r="58" spans="1:18" customHeight="1" ht="58">
      <c r="A58" s="16"/>
      <c r="B58" s="18" t="s">
        <v>240</v>
      </c>
      <c r="C58" s="17" t="s">
        <v>204</v>
      </c>
      <c r="D58" s="17" t="s">
        <v>84</v>
      </c>
      <c r="E58" s="17" t="s">
        <v>241</v>
      </c>
      <c r="F58" s="19"/>
      <c r="G58" s="20">
        <v>1.0</v>
      </c>
      <c r="H58" s="21"/>
      <c r="I58" s="21">
        <v>55.0</v>
      </c>
      <c r="J58" s="22">
        <v>215.0</v>
      </c>
      <c r="K58" s="50"/>
      <c r="L58" s="21" t="str">
        <f>IF(K58&gt;0,K58*I58,"")</f>
      </c>
      <c r="M58" s="52"/>
      <c r="N58" t="str">
        <f>IF(K58&gt;0,COUNTIF($K$7:K58,"&gt;0"),"")</f>
      </c>
      <c r="O58" t="s">
        <v>242</v>
      </c>
      <c r="P58" t="s">
        <v>239</v>
      </c>
      <c r="Q58" t="s">
        <v>239</v>
      </c>
    </row>
    <row r="59" spans="1:18" customHeight="1" ht="58">
      <c r="A59" s="16"/>
      <c r="B59" s="18" t="s">
        <v>244</v>
      </c>
      <c r="C59" s="17" t="s">
        <v>245</v>
      </c>
      <c r="D59" s="17" t="s">
        <v>246</v>
      </c>
      <c r="E59" s="17" t="s">
        <v>247</v>
      </c>
      <c r="F59" s="19"/>
      <c r="G59" s="20">
        <v>1.0</v>
      </c>
      <c r="H59" s="21"/>
      <c r="I59" s="21">
        <v>198.0</v>
      </c>
      <c r="J59" s="22">
        <v>77.0</v>
      </c>
      <c r="K59" s="50"/>
      <c r="L59" s="21" t="str">
        <f>IF(K59&gt;0,K59*I59,"")</f>
      </c>
      <c r="M59" s="52"/>
      <c r="N59" t="str">
        <f>IF(K59&gt;0,COUNTIF($K$7:K59,"&gt;0"),"")</f>
      </c>
      <c r="O59" t="s">
        <v>248</v>
      </c>
      <c r="P59" t="s">
        <v>243</v>
      </c>
      <c r="Q59" t="s">
        <v>243</v>
      </c>
    </row>
    <row r="60" spans="1:18" customHeight="1" ht="58">
      <c r="A60" s="16"/>
      <c r="B60" s="18" t="s">
        <v>250</v>
      </c>
      <c r="C60" s="17" t="s">
        <v>251</v>
      </c>
      <c r="D60" s="17" t="s">
        <v>84</v>
      </c>
      <c r="E60" s="17" t="s">
        <v>252</v>
      </c>
      <c r="F60" s="19"/>
      <c r="G60" s="20">
        <v>1.0</v>
      </c>
      <c r="H60" s="21"/>
      <c r="I60" s="21">
        <v>2.0</v>
      </c>
      <c r="J60" s="22">
        <v>2515.0</v>
      </c>
      <c r="K60" s="50"/>
      <c r="L60" s="21" t="str">
        <f>IF(K60&gt;0,K60*I60,"")</f>
      </c>
      <c r="M60" s="52"/>
      <c r="N60" t="str">
        <f>IF(K60&gt;0,COUNTIF($K$7:K60,"&gt;0"),"")</f>
      </c>
      <c r="O60" t="s">
        <v>253</v>
      </c>
      <c r="P60" t="s">
        <v>249</v>
      </c>
      <c r="Q60" t="s">
        <v>249</v>
      </c>
    </row>
    <row r="61" spans="1:18" customHeight="1" ht="58">
      <c r="A61" s="16"/>
      <c r="B61" s="18" t="s">
        <v>255</v>
      </c>
      <c r="C61" s="17" t="s">
        <v>251</v>
      </c>
      <c r="D61" s="17" t="s">
        <v>84</v>
      </c>
      <c r="E61" s="17" t="s">
        <v>256</v>
      </c>
      <c r="F61" s="19"/>
      <c r="G61" s="20">
        <v>1.0</v>
      </c>
      <c r="H61" s="21"/>
      <c r="I61" s="21">
        <v>3.0</v>
      </c>
      <c r="J61" s="22">
        <v>3190.0</v>
      </c>
      <c r="K61" s="50"/>
      <c r="L61" s="21" t="str">
        <f>IF(K61&gt;0,K61*I61,"")</f>
      </c>
      <c r="M61" s="52"/>
      <c r="N61" t="str">
        <f>IF(K61&gt;0,COUNTIF($K$7:K61,"&gt;0"),"")</f>
      </c>
      <c r="O61" t="s">
        <v>257</v>
      </c>
      <c r="P61" t="s">
        <v>254</v>
      </c>
      <c r="Q61" t="s">
        <v>254</v>
      </c>
    </row>
    <row r="62" spans="1:18" customHeight="1" ht="58">
      <c r="A62" s="16"/>
      <c r="B62" s="18" t="s">
        <v>259</v>
      </c>
      <c r="C62" s="17" t="s">
        <v>251</v>
      </c>
      <c r="D62" s="17" t="s">
        <v>84</v>
      </c>
      <c r="E62" s="17" t="s">
        <v>260</v>
      </c>
      <c r="F62" s="19"/>
      <c r="G62" s="20">
        <v>1.0</v>
      </c>
      <c r="H62" s="21"/>
      <c r="I62" s="21">
        <v>2.0</v>
      </c>
      <c r="J62" s="22">
        <v>3267.0</v>
      </c>
      <c r="K62" s="50"/>
      <c r="L62" s="21" t="str">
        <f>IF(K62&gt;0,K62*I62,"")</f>
      </c>
      <c r="M62" s="52"/>
      <c r="N62" t="str">
        <f>IF(K62&gt;0,COUNTIF($K$7:K62,"&gt;0"),"")</f>
      </c>
      <c r="O62" t="s">
        <v>261</v>
      </c>
      <c r="P62" t="s">
        <v>258</v>
      </c>
      <c r="Q62" t="s">
        <v>258</v>
      </c>
    </row>
    <row r="63" spans="1:18" customHeight="1" ht="58">
      <c r="A63" s="16"/>
      <c r="B63" s="18" t="s">
        <v>263</v>
      </c>
      <c r="C63" s="17" t="s">
        <v>251</v>
      </c>
      <c r="D63" s="17" t="s">
        <v>84</v>
      </c>
      <c r="E63" s="17" t="s">
        <v>264</v>
      </c>
      <c r="F63" s="19"/>
      <c r="G63" s="20">
        <v>1.0</v>
      </c>
      <c r="H63" s="21"/>
      <c r="I63" s="21">
        <v>3.0</v>
      </c>
      <c r="J63" s="22">
        <v>2595.0</v>
      </c>
      <c r="K63" s="50"/>
      <c r="L63" s="21" t="str">
        <f>IF(K63&gt;0,K63*I63,"")</f>
      </c>
      <c r="M63" s="52"/>
      <c r="N63" t="str">
        <f>IF(K63&gt;0,COUNTIF($K$7:K63,"&gt;0"),"")</f>
      </c>
      <c r="O63" t="s">
        <v>265</v>
      </c>
      <c r="P63" t="s">
        <v>262</v>
      </c>
      <c r="Q63" t="s">
        <v>262</v>
      </c>
    </row>
    <row r="64" spans="1:18" customHeight="1" ht="58">
      <c r="A64" s="16"/>
      <c r="B64" s="18" t="s">
        <v>267</v>
      </c>
      <c r="C64" s="17" t="s">
        <v>251</v>
      </c>
      <c r="D64" s="17" t="s">
        <v>84</v>
      </c>
      <c r="E64" s="17" t="s">
        <v>268</v>
      </c>
      <c r="F64" s="19"/>
      <c r="G64" s="20">
        <v>1.0</v>
      </c>
      <c r="H64" s="21"/>
      <c r="I64" s="21">
        <v>3.0</v>
      </c>
      <c r="J64" s="22">
        <v>2986.0</v>
      </c>
      <c r="K64" s="50"/>
      <c r="L64" s="21" t="str">
        <f>IF(K64&gt;0,K64*I64,"")</f>
      </c>
      <c r="M64" s="52"/>
      <c r="N64" t="str">
        <f>IF(K64&gt;0,COUNTIF($K$7:K64,"&gt;0"),"")</f>
      </c>
      <c r="O64" t="s">
        <v>269</v>
      </c>
      <c r="P64" t="s">
        <v>266</v>
      </c>
      <c r="Q64" t="s">
        <v>266</v>
      </c>
    </row>
    <row r="65" spans="1:18" customHeight="1" ht="58">
      <c r="A65" s="16"/>
      <c r="B65" s="18" t="s">
        <v>271</v>
      </c>
      <c r="C65" s="17" t="s">
        <v>251</v>
      </c>
      <c r="D65" s="17" t="s">
        <v>84</v>
      </c>
      <c r="E65" s="17" t="s">
        <v>272</v>
      </c>
      <c r="F65" s="19"/>
      <c r="G65" s="20">
        <v>1.0</v>
      </c>
      <c r="H65" s="21"/>
      <c r="I65" s="21">
        <v>3.0</v>
      </c>
      <c r="J65" s="22">
        <v>2918.0</v>
      </c>
      <c r="K65" s="50"/>
      <c r="L65" s="21" t="str">
        <f>IF(K65&gt;0,K65*I65,"")</f>
      </c>
      <c r="M65" s="52"/>
      <c r="N65" t="str">
        <f>IF(K65&gt;0,COUNTIF($K$7:K65,"&gt;0"),"")</f>
      </c>
      <c r="O65" t="s">
        <v>273</v>
      </c>
      <c r="P65" t="s">
        <v>270</v>
      </c>
      <c r="Q65" t="s">
        <v>270</v>
      </c>
    </row>
    <row r="66" spans="1:18" customHeight="1" ht="58">
      <c r="A66" s="16"/>
      <c r="B66" s="18" t="s">
        <v>275</v>
      </c>
      <c r="C66" s="17" t="s">
        <v>251</v>
      </c>
      <c r="D66" s="17" t="s">
        <v>84</v>
      </c>
      <c r="E66" s="17" t="s">
        <v>276</v>
      </c>
      <c r="F66" s="19"/>
      <c r="G66" s="20">
        <v>1.0</v>
      </c>
      <c r="H66" s="21"/>
      <c r="I66" s="21">
        <v>3.0</v>
      </c>
      <c r="J66" s="22">
        <v>1721.0</v>
      </c>
      <c r="K66" s="50"/>
      <c r="L66" s="21" t="str">
        <f>IF(K66&gt;0,K66*I66,"")</f>
      </c>
      <c r="M66" s="52"/>
      <c r="N66" t="str">
        <f>IF(K66&gt;0,COUNTIF($K$7:K66,"&gt;0"),"")</f>
      </c>
      <c r="O66" t="s">
        <v>277</v>
      </c>
      <c r="P66" t="s">
        <v>274</v>
      </c>
      <c r="Q66" t="s">
        <v>274</v>
      </c>
    </row>
    <row r="67" spans="1:18" customHeight="1" ht="58">
      <c r="A67" s="16"/>
      <c r="B67" s="18" t="s">
        <v>279</v>
      </c>
      <c r="C67" s="17" t="s">
        <v>251</v>
      </c>
      <c r="D67" s="17" t="s">
        <v>84</v>
      </c>
      <c r="E67" s="17" t="s">
        <v>280</v>
      </c>
      <c r="F67" s="19"/>
      <c r="G67" s="20">
        <v>1.0</v>
      </c>
      <c r="H67" s="21"/>
      <c r="I67" s="21">
        <v>3.0</v>
      </c>
      <c r="J67" s="22">
        <v>4403.0</v>
      </c>
      <c r="K67" s="50"/>
      <c r="L67" s="21" t="str">
        <f>IF(K67&gt;0,K67*I67,"")</f>
      </c>
      <c r="M67" s="52"/>
      <c r="N67" t="str">
        <f>IF(K67&gt;0,COUNTIF($K$7:K67,"&gt;0"),"")</f>
      </c>
      <c r="O67" t="s">
        <v>281</v>
      </c>
      <c r="P67" t="s">
        <v>278</v>
      </c>
      <c r="Q67" t="s">
        <v>278</v>
      </c>
    </row>
    <row r="68" spans="1:18" customHeight="1" ht="58">
      <c r="A68" s="16"/>
      <c r="B68" s="18" t="s">
        <v>283</v>
      </c>
      <c r="C68" s="17" t="s">
        <v>251</v>
      </c>
      <c r="D68" s="17" t="s">
        <v>84</v>
      </c>
      <c r="E68" s="17" t="s">
        <v>284</v>
      </c>
      <c r="F68" s="19"/>
      <c r="G68" s="20">
        <v>1.0</v>
      </c>
      <c r="H68" s="21"/>
      <c r="I68" s="21">
        <v>2.0</v>
      </c>
      <c r="J68" s="22">
        <v>2074.0</v>
      </c>
      <c r="K68" s="50"/>
      <c r="L68" s="21" t="str">
        <f>IF(K68&gt;0,K68*I68,"")</f>
      </c>
      <c r="M68" s="52"/>
      <c r="N68" t="str">
        <f>IF(K68&gt;0,COUNTIF($K$7:K68,"&gt;0"),"")</f>
      </c>
      <c r="O68" t="s">
        <v>285</v>
      </c>
      <c r="P68" t="s">
        <v>282</v>
      </c>
      <c r="Q68" t="s">
        <v>282</v>
      </c>
    </row>
    <row r="69" spans="1:18" customHeight="1" ht="58">
      <c r="A69" s="16"/>
      <c r="B69" s="18" t="s">
        <v>287</v>
      </c>
      <c r="C69" s="17" t="s">
        <v>251</v>
      </c>
      <c r="D69" s="17" t="s">
        <v>84</v>
      </c>
      <c r="E69" s="17" t="s">
        <v>288</v>
      </c>
      <c r="F69" s="19"/>
      <c r="G69" s="20">
        <v>1.0</v>
      </c>
      <c r="H69" s="21"/>
      <c r="I69" s="21">
        <v>3.0</v>
      </c>
      <c r="J69" s="22">
        <v>2422.0</v>
      </c>
      <c r="K69" s="50"/>
      <c r="L69" s="21" t="str">
        <f>IF(K69&gt;0,K69*I69,"")</f>
      </c>
      <c r="M69" s="52"/>
      <c r="N69" t="str">
        <f>IF(K69&gt;0,COUNTIF($K$7:K69,"&gt;0"),"")</f>
      </c>
      <c r="O69" t="s">
        <v>289</v>
      </c>
      <c r="P69" t="s">
        <v>286</v>
      </c>
      <c r="Q69" t="s">
        <v>286</v>
      </c>
    </row>
    <row r="70" spans="1:18" customHeight="1" ht="58">
      <c r="A70" s="16"/>
      <c r="B70" s="18" t="s">
        <v>291</v>
      </c>
      <c r="C70" s="17" t="s">
        <v>251</v>
      </c>
      <c r="D70" s="17" t="s">
        <v>84</v>
      </c>
      <c r="E70" s="17" t="s">
        <v>292</v>
      </c>
      <c r="F70" s="19"/>
      <c r="G70" s="20">
        <v>1.0</v>
      </c>
      <c r="H70" s="21"/>
      <c r="I70" s="21">
        <v>2.0</v>
      </c>
      <c r="J70" s="22">
        <v>3279.0</v>
      </c>
      <c r="K70" s="50"/>
      <c r="L70" s="21" t="str">
        <f>IF(K70&gt;0,K70*I70,"")</f>
      </c>
      <c r="M70" s="52"/>
      <c r="N70" t="str">
        <f>IF(K70&gt;0,COUNTIF($K$7:K70,"&gt;0"),"")</f>
      </c>
      <c r="O70" t="s">
        <v>293</v>
      </c>
      <c r="P70" t="s">
        <v>290</v>
      </c>
      <c r="Q70" t="s">
        <v>290</v>
      </c>
    </row>
    <row r="71" spans="1:18" customHeight="1" ht="58">
      <c r="A71" s="16"/>
      <c r="B71" s="18" t="s">
        <v>295</v>
      </c>
      <c r="C71" s="17" t="s">
        <v>296</v>
      </c>
      <c r="D71" s="17" t="s">
        <v>84</v>
      </c>
      <c r="E71" s="17" t="s">
        <v>297</v>
      </c>
      <c r="F71" s="19"/>
      <c r="G71" s="20">
        <v>1.0</v>
      </c>
      <c r="H71" s="21"/>
      <c r="I71" s="21">
        <v>70.0</v>
      </c>
      <c r="J71" s="22">
        <v>26.0</v>
      </c>
      <c r="K71" s="50"/>
      <c r="L71" s="21" t="str">
        <f>IF(K71&gt;0,K71*I71,"")</f>
      </c>
      <c r="M71" s="52"/>
      <c r="N71" t="str">
        <f>IF(K71&gt;0,COUNTIF($K$7:K71,"&gt;0"),"")</f>
      </c>
      <c r="O71" t="s">
        <v>298</v>
      </c>
      <c r="P71" t="s">
        <v>294</v>
      </c>
      <c r="Q71" t="s">
        <v>294</v>
      </c>
    </row>
    <row r="72" spans="1:18" customHeight="1" ht="58">
      <c r="A72" s="16"/>
      <c r="B72" s="18" t="s">
        <v>300</v>
      </c>
      <c r="C72" s="17" t="s">
        <v>301</v>
      </c>
      <c r="D72" s="17" t="s">
        <v>302</v>
      </c>
      <c r="E72" s="17"/>
      <c r="F72" s="19"/>
      <c r="G72" s="20">
        <v>1.0</v>
      </c>
      <c r="H72" s="21"/>
      <c r="I72" s="21">
        <v>162.0</v>
      </c>
      <c r="J72" s="22">
        <v>29.0</v>
      </c>
      <c r="K72" s="50"/>
      <c r="L72" s="21" t="str">
        <f>IF(K72&gt;0,K72*I72,"")</f>
      </c>
      <c r="M72" s="52"/>
      <c r="N72" t="str">
        <f>IF(K72&gt;0,COUNTIF($K$7:K72,"&gt;0"),"")</f>
      </c>
      <c r="O72" t="s">
        <v>303</v>
      </c>
      <c r="P72" t="s">
        <v>299</v>
      </c>
      <c r="Q72" t="s">
        <v>299</v>
      </c>
    </row>
    <row r="73" spans="1:18" customHeight="1" ht="58">
      <c r="A73" s="16"/>
      <c r="B73" s="18" t="s">
        <v>305</v>
      </c>
      <c r="C73" s="17" t="s">
        <v>306</v>
      </c>
      <c r="D73" s="17" t="s">
        <v>307</v>
      </c>
      <c r="E73" s="17"/>
      <c r="F73" s="19"/>
      <c r="G73" s="20">
        <v>1.0</v>
      </c>
      <c r="H73" s="21"/>
      <c r="I73" s="21">
        <v>266.0</v>
      </c>
      <c r="J73" s="22">
        <v>72.0</v>
      </c>
      <c r="K73" s="50"/>
      <c r="L73" s="21" t="str">
        <f>IF(K73&gt;0,K73*I73,"")</f>
      </c>
      <c r="M73" s="52"/>
      <c r="N73" t="str">
        <f>IF(K73&gt;0,COUNTIF($K$7:K73,"&gt;0"),"")</f>
      </c>
      <c r="O73" t="s">
        <v>308</v>
      </c>
      <c r="P73" t="s">
        <v>304</v>
      </c>
      <c r="Q73" t="s">
        <v>304</v>
      </c>
    </row>
    <row r="75" spans="1:18">
      <c r="I75" s="30" t="s">
        <v>309</v>
      </c>
      <c r="J75" s="33"/>
      <c r="K75" s="36" t="str">
        <f>COUNTIF(K7:K73,"&gt;0")</f>
      </c>
    </row>
    <row r="76" spans="1:18">
      <c r="I76" s="31" t="s">
        <v>310</v>
      </c>
      <c r="J76" s="34"/>
      <c r="K76" s="37" t="str">
        <f>SUM(K7:K73)</f>
      </c>
    </row>
    <row r="77" spans="1:18">
      <c r="I77" s="32" t="s">
        <v>311</v>
      </c>
      <c r="J77" s="35"/>
      <c r="K77" s="38" t="str">
        <f>SUM(L7:L73)</f>
      </c>
    </row>
  </sheetData>
  <sheetProtection sheet="1"/>
  <mergeCells>
    <mergeCell ref="A1:M1"/>
    <mergeCell ref="B2:C2"/>
    <mergeCell ref="B3:C3"/>
    <mergeCell ref="B4:C4"/>
    <mergeCell ref="B5:C5"/>
    <mergeCell ref="E2:F2"/>
    <mergeCell ref="E3:F3"/>
    <mergeCell ref="E4:F4"/>
    <mergeCell ref="E5:F5"/>
    <mergeCell ref="G2:I2"/>
    <mergeCell ref="G3:I4"/>
    <mergeCell ref="J2:L5"/>
    <mergeCell ref="A7:M7"/>
    <mergeCell ref="I75:J75"/>
    <mergeCell ref="I76:J76"/>
    <mergeCell ref="I77:J77"/>
    <mergeCell ref="G5:I5"/>
  </mergeCells>
  <conditionalFormatting sqref="A7:M73">
    <cfRule type="expression" dxfId="0" priority="1">
      <formula>AND($G$3&lt;&gt;"",ISNUMBER(SEARCH($G$3,$B7&amp;" "&amp;$C7&amp;" "&amp;$D7&amp;" "&amp;$E7)))</formula>
    </cfRule>
    <cfRule type="expression" dxfId="1" priority="2">
      <formula>$K7&gt;0</formula>
    </cfRule>
  </conditionalFormatting>
  <conditionalFormatting sqref="K7:K73">
    <cfRule type="expression" dxfId="2" priority="3">
      <formula>AND($K7&gt;$J7,$K7&gt;0)</formula>
    </cfRule>
  </conditionalFormatting>
  <dataValidations count="1"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8:K73">
      <formula1>0</formula1>
    </dataValidation>
  </dataValidations>
  <hyperlinks>
    <hyperlink ref="B8" r:id="rId_hyperlink_1" tooltip="Открыть карточку товара на сайте" display="Открыть карточку товара на сайте"/>
    <hyperlink ref="B9" r:id="rId_hyperlink_2" tooltip="Открыть карточку товара на сайте" display="Открыть карточку товара на сайте"/>
    <hyperlink ref="B10" r:id="rId_hyperlink_3" tooltip="Открыть карточку товара на сайте" display="Открыть карточку товара на сайте"/>
    <hyperlink ref="B11" r:id="rId_hyperlink_4" tooltip="Открыть карточку товара на сайте" display="Открыть карточку товара на сайте"/>
    <hyperlink ref="B12" r:id="rId_hyperlink_5" tooltip="Открыть карточку товара на сайте" display="Открыть карточку товара на сайте"/>
    <hyperlink ref="B13" r:id="rId_hyperlink_6" tooltip="Открыть карточку товара на сайте" display="Открыть карточку товара на сайте"/>
    <hyperlink ref="B14" r:id="rId_hyperlink_7" tooltip="Открыть карточку товара на сайте" display="Открыть карточку товара на сайте"/>
    <hyperlink ref="B15" r:id="rId_hyperlink_8" tooltip="Открыть карточку товара на сайте" display="Открыть карточку товара на сайте"/>
    <hyperlink ref="B16" r:id="rId_hyperlink_9" tooltip="Открыть карточку товара на сайте" display="Открыть карточку товара на сайте"/>
    <hyperlink ref="B17" r:id="rId_hyperlink_10" tooltip="Открыть карточку товара на сайте" display="Открыть карточку товара на сайте"/>
    <hyperlink ref="B18" r:id="rId_hyperlink_11" tooltip="Открыть карточку товара на сайте" display="Открыть карточку товара на сайте"/>
    <hyperlink ref="B19" r:id="rId_hyperlink_12" tooltip="Открыть карточку товара на сайте" display="Открыть карточку товара на сайте"/>
    <hyperlink ref="B20" r:id="rId_hyperlink_13" tooltip="Открыть карточку товара на сайте" display="Открыть карточку товара на сайте"/>
    <hyperlink ref="B21" r:id="rId_hyperlink_14" tooltip="Открыть карточку товара на сайте" display="Открыть карточку товара на сайте"/>
    <hyperlink ref="B22" r:id="rId_hyperlink_15" tooltip="Открыть карточку товара на сайте" display="Открыть карточку товара на сайте"/>
    <hyperlink ref="B23" r:id="rId_hyperlink_16" tooltip="Открыть карточку товара на сайте" display="Открыть карточку товара на сайте"/>
    <hyperlink ref="B24" r:id="rId_hyperlink_17" tooltip="Открыть карточку товара на сайте" display="Открыть карточку товара на сайте"/>
    <hyperlink ref="B25" r:id="rId_hyperlink_18" tooltip="Открыть карточку товара на сайте" display="Открыть карточку товара на сайте"/>
    <hyperlink ref="B26" r:id="rId_hyperlink_19" tooltip="Открыть карточку товара на сайте" display="Открыть карточку товара на сайте"/>
    <hyperlink ref="B27" r:id="rId_hyperlink_20" tooltip="Открыть карточку товара на сайте" display="Открыть карточку товара на сайте"/>
    <hyperlink ref="B28" r:id="rId_hyperlink_21" tooltip="Открыть карточку товара на сайте" display="Открыть карточку товара на сайте"/>
    <hyperlink ref="B29" r:id="rId_hyperlink_22" tooltip="Открыть карточку товара на сайте" display="Открыть карточку товара на сайте"/>
    <hyperlink ref="B30" r:id="rId_hyperlink_23" tooltip="Открыть карточку товара на сайте" display="Открыть карточку товара на сайте"/>
    <hyperlink ref="B31" r:id="rId_hyperlink_24" tooltip="Открыть карточку товара на сайте" display="Открыть карточку товара на сайте"/>
    <hyperlink ref="B32" r:id="rId_hyperlink_25" tooltip="Открыть карточку товара на сайте" display="Открыть карточку товара на сайте"/>
    <hyperlink ref="B33" r:id="rId_hyperlink_26" tooltip="Открыть карточку товара на сайте" display="Открыть карточку товара на сайте"/>
    <hyperlink ref="B34" r:id="rId_hyperlink_27" tooltip="Открыть карточку товара на сайте" display="Открыть карточку товара на сайте"/>
    <hyperlink ref="B35" r:id="rId_hyperlink_28" tooltip="Открыть карточку товара на сайте" display="Открыть карточку товара на сайте"/>
    <hyperlink ref="B36" r:id="rId_hyperlink_29" tooltip="Открыть карточку товара на сайте" display="Открыть карточку товара на сайте"/>
    <hyperlink ref="B37" r:id="rId_hyperlink_30" tooltip="Открыть карточку товара на сайте" display="Открыть карточку товара на сайте"/>
    <hyperlink ref="B38" r:id="rId_hyperlink_31" tooltip="Открыть карточку товара на сайте" display="Открыть карточку товара на сайте"/>
    <hyperlink ref="B39" r:id="rId_hyperlink_32" tooltip="Открыть карточку товара на сайте" display="Открыть карточку товара на сайте"/>
    <hyperlink ref="B40" r:id="rId_hyperlink_33" tooltip="Открыть карточку товара на сайте" display="Открыть карточку товара на сайте"/>
    <hyperlink ref="B41" r:id="rId_hyperlink_34" tooltip="Открыть карточку товара на сайте" display="Открыть карточку товара на сайте"/>
    <hyperlink ref="B42" r:id="rId_hyperlink_35" tooltip="Открыть карточку товара на сайте" display="Открыть карточку товара на сайте"/>
    <hyperlink ref="B43" r:id="rId_hyperlink_36" tooltip="Открыть карточку товара на сайте" display="Открыть карточку товара на сайте"/>
    <hyperlink ref="B44" r:id="rId_hyperlink_37" tooltip="Открыть карточку товара на сайте" display="Открыть карточку товара на сайте"/>
    <hyperlink ref="B45" r:id="rId_hyperlink_38" tooltip="Открыть карточку товара на сайте" display="Открыть карточку товара на сайте"/>
    <hyperlink ref="B46" r:id="rId_hyperlink_39" tooltip="Открыть карточку товара на сайте" display="Открыть карточку товара на сайте"/>
    <hyperlink ref="B47" r:id="rId_hyperlink_40" tooltip="Открыть карточку товара на сайте" display="Открыть карточку товара на сайте"/>
    <hyperlink ref="B48" r:id="rId_hyperlink_41" tooltip="Открыть карточку товара на сайте" display="Открыть карточку товара на сайте"/>
    <hyperlink ref="B49" r:id="rId_hyperlink_42" tooltip="Открыть карточку товара на сайте" display="Открыть карточку товара на сайте"/>
    <hyperlink ref="B50" r:id="rId_hyperlink_43" tooltip="Открыть карточку товара на сайте" display="Открыть карточку товара на сайте"/>
    <hyperlink ref="B51" r:id="rId_hyperlink_44" tooltip="Открыть карточку товара на сайте" display="Открыть карточку товара на сайте"/>
    <hyperlink ref="B52" r:id="rId_hyperlink_45" tooltip="Открыть карточку товара на сайте" display="Открыть карточку товара на сайте"/>
    <hyperlink ref="B53" r:id="rId_hyperlink_46" tooltip="Открыть карточку товара на сайте" display="Открыть карточку товара на сайте"/>
    <hyperlink ref="B54" r:id="rId_hyperlink_47" tooltip="Открыть карточку товара на сайте" display="Открыть карточку товара на сайте"/>
    <hyperlink ref="B55" r:id="rId_hyperlink_48" tooltip="Открыть карточку товара на сайте" display="Открыть карточку товара на сайте"/>
    <hyperlink ref="B56" r:id="rId_hyperlink_49" tooltip="Открыть карточку товара на сайте" display="Открыть карточку товара на сайте"/>
    <hyperlink ref="B57" r:id="rId_hyperlink_50" tooltip="Открыть карточку товара на сайте" display="Открыть карточку товара на сайте"/>
    <hyperlink ref="B58" r:id="rId_hyperlink_51" tooltip="Открыть карточку товара на сайте" display="Открыть карточку товара на сайте"/>
    <hyperlink ref="B59" r:id="rId_hyperlink_52" tooltip="Открыть карточку товара на сайте" display="Открыть карточку товара на сайте"/>
    <hyperlink ref="B60" r:id="rId_hyperlink_53" tooltip="Открыть карточку товара на сайте" display="Открыть карточку товара на сайте"/>
    <hyperlink ref="B61" r:id="rId_hyperlink_54" tooltip="Открыть карточку товара на сайте" display="Открыть карточку товара на сайте"/>
    <hyperlink ref="B62" r:id="rId_hyperlink_55" tooltip="Открыть карточку товара на сайте" display="Открыть карточку товара на сайте"/>
    <hyperlink ref="B63" r:id="rId_hyperlink_56" tooltip="Открыть карточку товара на сайте" display="Открыть карточку товара на сайте"/>
    <hyperlink ref="B64" r:id="rId_hyperlink_57" tooltip="Открыть карточку товара на сайте" display="Открыть карточку товара на сайте"/>
    <hyperlink ref="B65" r:id="rId_hyperlink_58" tooltip="Открыть карточку товара на сайте" display="Открыть карточку товара на сайте"/>
    <hyperlink ref="B66" r:id="rId_hyperlink_59" tooltip="Открыть карточку товара на сайте" display="Открыть карточку товара на сайте"/>
    <hyperlink ref="B67" r:id="rId_hyperlink_60" tooltip="Открыть карточку товара на сайте" display="Открыть карточку товара на сайте"/>
    <hyperlink ref="B68" r:id="rId_hyperlink_61" tooltip="Открыть карточку товара на сайте" display="Открыть карточку товара на сайте"/>
    <hyperlink ref="B69" r:id="rId_hyperlink_62" tooltip="Открыть карточку товара на сайте" display="Открыть карточку товара на сайте"/>
    <hyperlink ref="B70" r:id="rId_hyperlink_63" tooltip="Открыть карточку товара на сайте" display="Открыть карточку товара на сайте"/>
    <hyperlink ref="B71" r:id="rId_hyperlink_64" tooltip="Открыть карточку товара на сайте" display="Открыть карточку товара на сайте"/>
    <hyperlink ref="B72" r:id="rId_hyperlink_65" tooltip="Открыть карточку товара на сайте" display="Открыть карточку товара на сайте"/>
    <hyperlink ref="B73" r:id="rId_hyperlink_66" tooltip="Открыть карточку товара на сайте" display="Открыть карточку товара на сайте"/>
  </hyperlinks>
  <printOptions gridLines="false" gridLinesSet="true"/>
  <pageMargins left="0.4" right="0.4" top="0.5" bottom="0.5" header="0.3" footer="0.3"/>
  <pageSetup paperSize="1" orientation="landscape" scale="100" fitToHeight="0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74"/>
  <sheetViews>
    <sheetView tabSelected="0" workbookViewId="0" showGridLines="true" showRowColHeaders="1">
      <pane ySplit="8" activePane="bottomLeft" state="frozen" topLeftCell="A9"/>
      <selection pane="bottomLeft" activeCell="K9" sqref="K9"/>
    </sheetView>
  </sheetViews>
  <sheetFormatPr defaultRowHeight="14.4" outlineLevelRow="0" outlineLevelCol="0"/>
  <cols>
    <col min="1" max="1" width="11" customWidth="true" style="0"/>
    <col min="2" max="2" width="12" customWidth="true" style="0"/>
    <col min="3" max="3" width="26" customWidth="true" style="0"/>
    <col min="4" max="4" width="32" customWidth="true" style="0"/>
    <col min="5" max="5" width="8" customWidth="true" style="0"/>
    <col min="6" max="6" width="12" customWidth="true" style="0"/>
    <col min="7" max="7" width="11" customWidth="true" style="0"/>
    <col min="8" max="8" width="14" customWidth="true" style="0"/>
    <col min="9" max="9" width="26" customWidth="true" style="0"/>
    <col min="10" max="10" width="9.10" hidden="true" style="0"/>
    <col min="12" max="12" width="9.10" hidden="true" style="0"/>
  </cols>
  <sheetData>
    <row r="1" spans="1:12" customHeight="1" ht="28">
      <c r="A1" s="53" t="s">
        <v>316</v>
      </c>
    </row>
    <row r="2" spans="1:12" customHeight="1" ht="26">
      <c r="A2" s="54" t="s">
        <v>317</v>
      </c>
    </row>
    <row r="3" spans="1:12">
      <c r="A3" s="12" t="s">
        <v>1</v>
      </c>
      <c r="B3" s="13" t="str">
        <f>IF('Прайс и заказ'!B2="","",'Прайс и заказ'!B2)</f>
      </c>
      <c r="C3" s="12" t="s">
        <v>3</v>
      </c>
      <c r="D3" s="13" t="str">
        <f>IF('Прайс и заказ'!B4="","",'Прайс и заказ'!B4)</f>
      </c>
      <c r="E3" s="12" t="s">
        <v>4</v>
      </c>
      <c r="F3" s="13" t="str">
        <f>IF('Прайс и заказ'!B5="","",'Прайс и заказ'!B5)</f>
      </c>
      <c r="G3" s="13"/>
      <c r="H3" s="13"/>
    </row>
    <row r="4" spans="1:12">
      <c r="A4" s="12" t="s">
        <v>2</v>
      </c>
      <c r="B4" s="13" t="str">
        <f>IF('Прайс и заказ'!B3="","",'Прайс и заказ'!B3)</f>
      </c>
      <c r="C4" s="12" t="s">
        <v>5</v>
      </c>
      <c r="D4" s="13" t="str">
        <f>IF('Прайс и заказ'!E2="","",'Прайс и заказ'!E2)</f>
      </c>
      <c r="E4" s="13"/>
      <c r="F4" s="13"/>
      <c r="G4" s="13"/>
      <c r="H4" s="13"/>
    </row>
    <row r="5" spans="1:12">
      <c r="A5" s="12" t="s">
        <v>6</v>
      </c>
      <c r="B5" s="13" t="str">
        <f>IF('Прайс и заказ'!E3="","",'Прайс и заказ'!E3)</f>
      </c>
      <c r="C5" s="12" t="s">
        <v>8</v>
      </c>
      <c r="D5" s="13" t="str">
        <f>IF('Прайс и заказ'!E4="","",'Прайс и заказ'!E4)</f>
      </c>
      <c r="E5" s="13"/>
      <c r="F5" s="13"/>
      <c r="G5" s="13"/>
      <c r="H5" s="13"/>
    </row>
    <row r="6" spans="1:12" customHeight="1" ht="22">
      <c r="A6" s="55" t="s">
        <v>318</v>
      </c>
      <c r="B6" s="56"/>
      <c r="C6" s="57" t="str">
        <f>'Прайс и заказ'!K75</f>
      </c>
      <c r="D6" s="58" t="s">
        <v>310</v>
      </c>
      <c r="E6" s="56"/>
      <c r="F6" s="57" t="str">
        <f>'Прайс и заказ'!K76</f>
      </c>
      <c r="G6" s="58" t="s">
        <v>311</v>
      </c>
      <c r="H6" s="56"/>
      <c r="I6" s="59" t="str">
        <f>'Прайс и заказ'!K77</f>
      </c>
    </row>
    <row r="8" spans="1:12" customHeight="1" ht="24">
      <c r="A8" s="60" t="s">
        <v>14</v>
      </c>
      <c r="B8" s="60" t="s">
        <v>15</v>
      </c>
      <c r="C8" s="60" t="s">
        <v>16</v>
      </c>
      <c r="D8" s="60" t="s">
        <v>17</v>
      </c>
      <c r="E8" s="60" t="s">
        <v>19</v>
      </c>
      <c r="F8" s="60" t="s">
        <v>319</v>
      </c>
      <c r="G8" s="60" t="s">
        <v>23</v>
      </c>
      <c r="H8" s="60" t="s">
        <v>24</v>
      </c>
      <c r="I8" s="60" t="s">
        <v>5</v>
      </c>
      <c r="J8" s="40" t="s">
        <v>312</v>
      </c>
      <c r="L8" s="40" t="s">
        <v>314</v>
      </c>
    </row>
    <row r="9" spans="1:12" customHeight="1" ht="40">
      <c r="A9" s="13" t="str">
        <f>IF($J9=0,"",IFERROR(_xlfn.IMAGE(INDEX('Прайс и заказ'!$O:$O,$J9)),""))</f>
      </c>
      <c r="B9" s="61" t="str">
        <f>IF($J9=0,"",IF(INDEX('Прайс и заказ'!B:B,$J9)="","",INDEX('Прайс и заказ'!B:B,$J9)))</f>
      </c>
      <c r="C9" s="64" t="str">
        <f>IF($J9=0,"",IF(INDEX('Прайс и заказ'!C:C,$J9)="","",INDEX('Прайс и заказ'!C:C,$J9)))</f>
      </c>
      <c r="D9" s="64" t="str">
        <f>IF($J9=0,"",IF(INDEX('Прайс и заказ'!D:D,$J9)="","",INDEX('Прайс и заказ'!D:D,$J9)))</f>
      </c>
      <c r="E9" s="61" t="str">
        <f>IF($J9=0,"",IF(INDEX('Прайс и заказ'!F:F,$J9)="","",INDEX('Прайс и заказ'!F:F,$J9)))</f>
      </c>
      <c r="F9" s="62" t="str">
        <f>IF($J9=0,"",IF(INDEX('Прайс и заказ'!I:I,$J9)="","",INDEX('Прайс и заказ'!I:I,$J9)))</f>
      </c>
      <c r="G9" s="63" t="str">
        <f>IF($J9=0,"",IF(INDEX('Прайс и заказ'!K:K,$J9)="","",INDEX('Прайс и заказ'!K:K,$J9)))</f>
      </c>
      <c r="H9" s="62" t="str">
        <f>IF($J9=0,"",IF(INDEX('Прайс и заказ'!L:L,$J9)="","",INDEX('Прайс и заказ'!L:L,$J9)))</f>
      </c>
      <c r="I9" s="13" t="str">
        <f>IF($J9=0,"",IF(INDEX('Прайс и заказ'!M:M,$J9)="","",INDEX('Прайс и заказ'!M:M,$J9)))</f>
      </c>
      <c r="J9" t="str">
        <f>IFERROR(MATCH(1,'Прайс и заказ'!$N$7:$N$73,0)+6,0)</f>
      </c>
      <c r="K9" s="65" t="str">
        <f>IF($J9=0,"← Пока ничего не выбрано — заполните колонку «Заказать» на листе «Прайс и заказ»","")</f>
      </c>
      <c r="L9" t="str">
        <f>IF($J9=0,"",IF(INDEX('Прайс и заказ'!Q:Q,$J9)="","",INDEX('Прайс и заказ'!Q:Q,$J9)))</f>
      </c>
    </row>
    <row r="10" spans="1:12" customHeight="1" ht="40">
      <c r="A10" s="13" t="str">
        <f>IF($J10=0,"",IFERROR(_xlfn.IMAGE(INDEX('Прайс и заказ'!$O:$O,$J10)),""))</f>
      </c>
      <c r="B10" s="61" t="str">
        <f>IF($J10=0,"",IF(INDEX('Прайс и заказ'!B:B,$J10)="","",INDEX('Прайс и заказ'!B:B,$J10)))</f>
      </c>
      <c r="C10" s="64" t="str">
        <f>IF($J10=0,"",IF(INDEX('Прайс и заказ'!C:C,$J10)="","",INDEX('Прайс и заказ'!C:C,$J10)))</f>
      </c>
      <c r="D10" s="64" t="str">
        <f>IF($J10=0,"",IF(INDEX('Прайс и заказ'!D:D,$J10)="","",INDEX('Прайс и заказ'!D:D,$J10)))</f>
      </c>
      <c r="E10" s="61" t="str">
        <f>IF($J10=0,"",IF(INDEX('Прайс и заказ'!F:F,$J10)="","",INDEX('Прайс и заказ'!F:F,$J10)))</f>
      </c>
      <c r="F10" s="62" t="str">
        <f>IF($J10=0,"",IF(INDEX('Прайс и заказ'!I:I,$J10)="","",INDEX('Прайс и заказ'!I:I,$J10)))</f>
      </c>
      <c r="G10" s="63" t="str">
        <f>IF($J10=0,"",IF(INDEX('Прайс и заказ'!K:K,$J10)="","",INDEX('Прайс и заказ'!K:K,$J10)))</f>
      </c>
      <c r="H10" s="62" t="str">
        <f>IF($J10=0,"",IF(INDEX('Прайс и заказ'!L:L,$J10)="","",INDEX('Прайс и заказ'!L:L,$J10)))</f>
      </c>
      <c r="I10" s="13" t="str">
        <f>IF($J10=0,"",IF(INDEX('Прайс и заказ'!M:M,$J10)="","",INDEX('Прайс и заказ'!M:M,$J10)))</f>
      </c>
      <c r="J10" t="str">
        <f>IFERROR(MATCH(2,'Прайс и заказ'!$N$7:$N$73,0)+6,0)</f>
      </c>
      <c r="L10" t="str">
        <f>IF($J10=0,"",IF(INDEX('Прайс и заказ'!Q:Q,$J10)="","",INDEX('Прайс и заказ'!Q:Q,$J10)))</f>
      </c>
    </row>
    <row r="11" spans="1:12" customHeight="1" ht="40">
      <c r="A11" s="13" t="str">
        <f>IF($J11=0,"",IFERROR(_xlfn.IMAGE(INDEX('Прайс и заказ'!$O:$O,$J11)),""))</f>
      </c>
      <c r="B11" s="61" t="str">
        <f>IF($J11=0,"",IF(INDEX('Прайс и заказ'!B:B,$J11)="","",INDEX('Прайс и заказ'!B:B,$J11)))</f>
      </c>
      <c r="C11" s="64" t="str">
        <f>IF($J11=0,"",IF(INDEX('Прайс и заказ'!C:C,$J11)="","",INDEX('Прайс и заказ'!C:C,$J11)))</f>
      </c>
      <c r="D11" s="64" t="str">
        <f>IF($J11=0,"",IF(INDEX('Прайс и заказ'!D:D,$J11)="","",INDEX('Прайс и заказ'!D:D,$J11)))</f>
      </c>
      <c r="E11" s="61" t="str">
        <f>IF($J11=0,"",IF(INDEX('Прайс и заказ'!F:F,$J11)="","",INDEX('Прайс и заказ'!F:F,$J11)))</f>
      </c>
      <c r="F11" s="62" t="str">
        <f>IF($J11=0,"",IF(INDEX('Прайс и заказ'!I:I,$J11)="","",INDEX('Прайс и заказ'!I:I,$J11)))</f>
      </c>
      <c r="G11" s="63" t="str">
        <f>IF($J11=0,"",IF(INDEX('Прайс и заказ'!K:K,$J11)="","",INDEX('Прайс и заказ'!K:K,$J11)))</f>
      </c>
      <c r="H11" s="62" t="str">
        <f>IF($J11=0,"",IF(INDEX('Прайс и заказ'!L:L,$J11)="","",INDEX('Прайс и заказ'!L:L,$J11)))</f>
      </c>
      <c r="I11" s="13" t="str">
        <f>IF($J11=0,"",IF(INDEX('Прайс и заказ'!M:M,$J11)="","",INDEX('Прайс и заказ'!M:M,$J11)))</f>
      </c>
      <c r="J11" t="str">
        <f>IFERROR(MATCH(3,'Прайс и заказ'!$N$7:$N$73,0)+6,0)</f>
      </c>
      <c r="L11" t="str">
        <f>IF($J11=0,"",IF(INDEX('Прайс и заказ'!Q:Q,$J11)="","",INDEX('Прайс и заказ'!Q:Q,$J11)))</f>
      </c>
    </row>
    <row r="12" spans="1:12" customHeight="1" ht="40">
      <c r="A12" s="13" t="str">
        <f>IF($J12=0,"",IFERROR(_xlfn.IMAGE(INDEX('Прайс и заказ'!$O:$O,$J12)),""))</f>
      </c>
      <c r="B12" s="61" t="str">
        <f>IF($J12=0,"",IF(INDEX('Прайс и заказ'!B:B,$J12)="","",INDEX('Прайс и заказ'!B:B,$J12)))</f>
      </c>
      <c r="C12" s="64" t="str">
        <f>IF($J12=0,"",IF(INDEX('Прайс и заказ'!C:C,$J12)="","",INDEX('Прайс и заказ'!C:C,$J12)))</f>
      </c>
      <c r="D12" s="64" t="str">
        <f>IF($J12=0,"",IF(INDEX('Прайс и заказ'!D:D,$J12)="","",INDEX('Прайс и заказ'!D:D,$J12)))</f>
      </c>
      <c r="E12" s="61" t="str">
        <f>IF($J12=0,"",IF(INDEX('Прайс и заказ'!F:F,$J12)="","",INDEX('Прайс и заказ'!F:F,$J12)))</f>
      </c>
      <c r="F12" s="62" t="str">
        <f>IF($J12=0,"",IF(INDEX('Прайс и заказ'!I:I,$J12)="","",INDEX('Прайс и заказ'!I:I,$J12)))</f>
      </c>
      <c r="G12" s="63" t="str">
        <f>IF($J12=0,"",IF(INDEX('Прайс и заказ'!K:K,$J12)="","",INDEX('Прайс и заказ'!K:K,$J12)))</f>
      </c>
      <c r="H12" s="62" t="str">
        <f>IF($J12=0,"",IF(INDEX('Прайс и заказ'!L:L,$J12)="","",INDEX('Прайс и заказ'!L:L,$J12)))</f>
      </c>
      <c r="I12" s="13" t="str">
        <f>IF($J12=0,"",IF(INDEX('Прайс и заказ'!M:M,$J12)="","",INDEX('Прайс и заказ'!M:M,$J12)))</f>
      </c>
      <c r="J12" t="str">
        <f>IFERROR(MATCH(4,'Прайс и заказ'!$N$7:$N$73,0)+6,0)</f>
      </c>
      <c r="L12" t="str">
        <f>IF($J12=0,"",IF(INDEX('Прайс и заказ'!Q:Q,$J12)="","",INDEX('Прайс и заказ'!Q:Q,$J12)))</f>
      </c>
    </row>
    <row r="13" spans="1:12" customHeight="1" ht="40">
      <c r="A13" s="13" t="str">
        <f>IF($J13=0,"",IFERROR(_xlfn.IMAGE(INDEX('Прайс и заказ'!$O:$O,$J13)),""))</f>
      </c>
      <c r="B13" s="61" t="str">
        <f>IF($J13=0,"",IF(INDEX('Прайс и заказ'!B:B,$J13)="","",INDEX('Прайс и заказ'!B:B,$J13)))</f>
      </c>
      <c r="C13" s="64" t="str">
        <f>IF($J13=0,"",IF(INDEX('Прайс и заказ'!C:C,$J13)="","",INDEX('Прайс и заказ'!C:C,$J13)))</f>
      </c>
      <c r="D13" s="64" t="str">
        <f>IF($J13=0,"",IF(INDEX('Прайс и заказ'!D:D,$J13)="","",INDEX('Прайс и заказ'!D:D,$J13)))</f>
      </c>
      <c r="E13" s="61" t="str">
        <f>IF($J13=0,"",IF(INDEX('Прайс и заказ'!F:F,$J13)="","",INDEX('Прайс и заказ'!F:F,$J13)))</f>
      </c>
      <c r="F13" s="62" t="str">
        <f>IF($J13=0,"",IF(INDEX('Прайс и заказ'!I:I,$J13)="","",INDEX('Прайс и заказ'!I:I,$J13)))</f>
      </c>
      <c r="G13" s="63" t="str">
        <f>IF($J13=0,"",IF(INDEX('Прайс и заказ'!K:K,$J13)="","",INDEX('Прайс и заказ'!K:K,$J13)))</f>
      </c>
      <c r="H13" s="62" t="str">
        <f>IF($J13=0,"",IF(INDEX('Прайс и заказ'!L:L,$J13)="","",INDEX('Прайс и заказ'!L:L,$J13)))</f>
      </c>
      <c r="I13" s="13" t="str">
        <f>IF($J13=0,"",IF(INDEX('Прайс и заказ'!M:M,$J13)="","",INDEX('Прайс и заказ'!M:M,$J13)))</f>
      </c>
      <c r="J13" t="str">
        <f>IFERROR(MATCH(5,'Прайс и заказ'!$N$7:$N$73,0)+6,0)</f>
      </c>
      <c r="L13" t="str">
        <f>IF($J13=0,"",IF(INDEX('Прайс и заказ'!Q:Q,$J13)="","",INDEX('Прайс и заказ'!Q:Q,$J13)))</f>
      </c>
    </row>
    <row r="14" spans="1:12" customHeight="1" ht="40">
      <c r="A14" s="13" t="str">
        <f>IF($J14=0,"",IFERROR(_xlfn.IMAGE(INDEX('Прайс и заказ'!$O:$O,$J14)),""))</f>
      </c>
      <c r="B14" s="61" t="str">
        <f>IF($J14=0,"",IF(INDEX('Прайс и заказ'!B:B,$J14)="","",INDEX('Прайс и заказ'!B:B,$J14)))</f>
      </c>
      <c r="C14" s="64" t="str">
        <f>IF($J14=0,"",IF(INDEX('Прайс и заказ'!C:C,$J14)="","",INDEX('Прайс и заказ'!C:C,$J14)))</f>
      </c>
      <c r="D14" s="64" t="str">
        <f>IF($J14=0,"",IF(INDEX('Прайс и заказ'!D:D,$J14)="","",INDEX('Прайс и заказ'!D:D,$J14)))</f>
      </c>
      <c r="E14" s="61" t="str">
        <f>IF($J14=0,"",IF(INDEX('Прайс и заказ'!F:F,$J14)="","",INDEX('Прайс и заказ'!F:F,$J14)))</f>
      </c>
      <c r="F14" s="62" t="str">
        <f>IF($J14=0,"",IF(INDEX('Прайс и заказ'!I:I,$J14)="","",INDEX('Прайс и заказ'!I:I,$J14)))</f>
      </c>
      <c r="G14" s="63" t="str">
        <f>IF($J14=0,"",IF(INDEX('Прайс и заказ'!K:K,$J14)="","",INDEX('Прайс и заказ'!K:K,$J14)))</f>
      </c>
      <c r="H14" s="62" t="str">
        <f>IF($J14=0,"",IF(INDEX('Прайс и заказ'!L:L,$J14)="","",INDEX('Прайс и заказ'!L:L,$J14)))</f>
      </c>
      <c r="I14" s="13" t="str">
        <f>IF($J14=0,"",IF(INDEX('Прайс и заказ'!M:M,$J14)="","",INDEX('Прайс и заказ'!M:M,$J14)))</f>
      </c>
      <c r="J14" t="str">
        <f>IFERROR(MATCH(6,'Прайс и заказ'!$N$7:$N$73,0)+6,0)</f>
      </c>
      <c r="L14" t="str">
        <f>IF($J14=0,"",IF(INDEX('Прайс и заказ'!Q:Q,$J14)="","",INDEX('Прайс и заказ'!Q:Q,$J14)))</f>
      </c>
    </row>
    <row r="15" spans="1:12" customHeight="1" ht="40">
      <c r="A15" s="13" t="str">
        <f>IF($J15=0,"",IFERROR(_xlfn.IMAGE(INDEX('Прайс и заказ'!$O:$O,$J15)),""))</f>
      </c>
      <c r="B15" s="61" t="str">
        <f>IF($J15=0,"",IF(INDEX('Прайс и заказ'!B:B,$J15)="","",INDEX('Прайс и заказ'!B:B,$J15)))</f>
      </c>
      <c r="C15" s="64" t="str">
        <f>IF($J15=0,"",IF(INDEX('Прайс и заказ'!C:C,$J15)="","",INDEX('Прайс и заказ'!C:C,$J15)))</f>
      </c>
      <c r="D15" s="64" t="str">
        <f>IF($J15=0,"",IF(INDEX('Прайс и заказ'!D:D,$J15)="","",INDEX('Прайс и заказ'!D:D,$J15)))</f>
      </c>
      <c r="E15" s="61" t="str">
        <f>IF($J15=0,"",IF(INDEX('Прайс и заказ'!F:F,$J15)="","",INDEX('Прайс и заказ'!F:F,$J15)))</f>
      </c>
      <c r="F15" s="62" t="str">
        <f>IF($J15=0,"",IF(INDEX('Прайс и заказ'!I:I,$J15)="","",INDEX('Прайс и заказ'!I:I,$J15)))</f>
      </c>
      <c r="G15" s="63" t="str">
        <f>IF($J15=0,"",IF(INDEX('Прайс и заказ'!K:K,$J15)="","",INDEX('Прайс и заказ'!K:K,$J15)))</f>
      </c>
      <c r="H15" s="62" t="str">
        <f>IF($J15=0,"",IF(INDEX('Прайс и заказ'!L:L,$J15)="","",INDEX('Прайс и заказ'!L:L,$J15)))</f>
      </c>
      <c r="I15" s="13" t="str">
        <f>IF($J15=0,"",IF(INDEX('Прайс и заказ'!M:M,$J15)="","",INDEX('Прайс и заказ'!M:M,$J15)))</f>
      </c>
      <c r="J15" t="str">
        <f>IFERROR(MATCH(7,'Прайс и заказ'!$N$7:$N$73,0)+6,0)</f>
      </c>
      <c r="L15" t="str">
        <f>IF($J15=0,"",IF(INDEX('Прайс и заказ'!Q:Q,$J15)="","",INDEX('Прайс и заказ'!Q:Q,$J15)))</f>
      </c>
    </row>
    <row r="16" spans="1:12" customHeight="1" ht="40">
      <c r="A16" s="13" t="str">
        <f>IF($J16=0,"",IFERROR(_xlfn.IMAGE(INDEX('Прайс и заказ'!$O:$O,$J16)),""))</f>
      </c>
      <c r="B16" s="61" t="str">
        <f>IF($J16=0,"",IF(INDEX('Прайс и заказ'!B:B,$J16)="","",INDEX('Прайс и заказ'!B:B,$J16)))</f>
      </c>
      <c r="C16" s="64" t="str">
        <f>IF($J16=0,"",IF(INDEX('Прайс и заказ'!C:C,$J16)="","",INDEX('Прайс и заказ'!C:C,$J16)))</f>
      </c>
      <c r="D16" s="64" t="str">
        <f>IF($J16=0,"",IF(INDEX('Прайс и заказ'!D:D,$J16)="","",INDEX('Прайс и заказ'!D:D,$J16)))</f>
      </c>
      <c r="E16" s="61" t="str">
        <f>IF($J16=0,"",IF(INDEX('Прайс и заказ'!F:F,$J16)="","",INDEX('Прайс и заказ'!F:F,$J16)))</f>
      </c>
      <c r="F16" s="62" t="str">
        <f>IF($J16=0,"",IF(INDEX('Прайс и заказ'!I:I,$J16)="","",INDEX('Прайс и заказ'!I:I,$J16)))</f>
      </c>
      <c r="G16" s="63" t="str">
        <f>IF($J16=0,"",IF(INDEX('Прайс и заказ'!K:K,$J16)="","",INDEX('Прайс и заказ'!K:K,$J16)))</f>
      </c>
      <c r="H16" s="62" t="str">
        <f>IF($J16=0,"",IF(INDEX('Прайс и заказ'!L:L,$J16)="","",INDEX('Прайс и заказ'!L:L,$J16)))</f>
      </c>
      <c r="I16" s="13" t="str">
        <f>IF($J16=0,"",IF(INDEX('Прайс и заказ'!M:M,$J16)="","",INDEX('Прайс и заказ'!M:M,$J16)))</f>
      </c>
      <c r="J16" t="str">
        <f>IFERROR(MATCH(8,'Прайс и заказ'!$N$7:$N$73,0)+6,0)</f>
      </c>
      <c r="L16" t="str">
        <f>IF($J16=0,"",IF(INDEX('Прайс и заказ'!Q:Q,$J16)="","",INDEX('Прайс и заказ'!Q:Q,$J16)))</f>
      </c>
    </row>
    <row r="17" spans="1:12" customHeight="1" ht="40">
      <c r="A17" s="13" t="str">
        <f>IF($J17=0,"",IFERROR(_xlfn.IMAGE(INDEX('Прайс и заказ'!$O:$O,$J17)),""))</f>
      </c>
      <c r="B17" s="61" t="str">
        <f>IF($J17=0,"",IF(INDEX('Прайс и заказ'!B:B,$J17)="","",INDEX('Прайс и заказ'!B:B,$J17)))</f>
      </c>
      <c r="C17" s="64" t="str">
        <f>IF($J17=0,"",IF(INDEX('Прайс и заказ'!C:C,$J17)="","",INDEX('Прайс и заказ'!C:C,$J17)))</f>
      </c>
      <c r="D17" s="64" t="str">
        <f>IF($J17=0,"",IF(INDEX('Прайс и заказ'!D:D,$J17)="","",INDEX('Прайс и заказ'!D:D,$J17)))</f>
      </c>
      <c r="E17" s="61" t="str">
        <f>IF($J17=0,"",IF(INDEX('Прайс и заказ'!F:F,$J17)="","",INDEX('Прайс и заказ'!F:F,$J17)))</f>
      </c>
      <c r="F17" s="62" t="str">
        <f>IF($J17=0,"",IF(INDEX('Прайс и заказ'!I:I,$J17)="","",INDEX('Прайс и заказ'!I:I,$J17)))</f>
      </c>
      <c r="G17" s="63" t="str">
        <f>IF($J17=0,"",IF(INDEX('Прайс и заказ'!K:K,$J17)="","",INDEX('Прайс и заказ'!K:K,$J17)))</f>
      </c>
      <c r="H17" s="62" t="str">
        <f>IF($J17=0,"",IF(INDEX('Прайс и заказ'!L:L,$J17)="","",INDEX('Прайс и заказ'!L:L,$J17)))</f>
      </c>
      <c r="I17" s="13" t="str">
        <f>IF($J17=0,"",IF(INDEX('Прайс и заказ'!M:M,$J17)="","",INDEX('Прайс и заказ'!M:M,$J17)))</f>
      </c>
      <c r="J17" t="str">
        <f>IFERROR(MATCH(9,'Прайс и заказ'!$N$7:$N$73,0)+6,0)</f>
      </c>
      <c r="L17" t="str">
        <f>IF($J17=0,"",IF(INDEX('Прайс и заказ'!Q:Q,$J17)="","",INDEX('Прайс и заказ'!Q:Q,$J17)))</f>
      </c>
    </row>
    <row r="18" spans="1:12" customHeight="1" ht="40">
      <c r="A18" s="13" t="str">
        <f>IF($J18=0,"",IFERROR(_xlfn.IMAGE(INDEX('Прайс и заказ'!$O:$O,$J18)),""))</f>
      </c>
      <c r="B18" s="61" t="str">
        <f>IF($J18=0,"",IF(INDEX('Прайс и заказ'!B:B,$J18)="","",INDEX('Прайс и заказ'!B:B,$J18)))</f>
      </c>
      <c r="C18" s="64" t="str">
        <f>IF($J18=0,"",IF(INDEX('Прайс и заказ'!C:C,$J18)="","",INDEX('Прайс и заказ'!C:C,$J18)))</f>
      </c>
      <c r="D18" s="64" t="str">
        <f>IF($J18=0,"",IF(INDEX('Прайс и заказ'!D:D,$J18)="","",INDEX('Прайс и заказ'!D:D,$J18)))</f>
      </c>
      <c r="E18" s="61" t="str">
        <f>IF($J18=0,"",IF(INDEX('Прайс и заказ'!F:F,$J18)="","",INDEX('Прайс и заказ'!F:F,$J18)))</f>
      </c>
      <c r="F18" s="62" t="str">
        <f>IF($J18=0,"",IF(INDEX('Прайс и заказ'!I:I,$J18)="","",INDEX('Прайс и заказ'!I:I,$J18)))</f>
      </c>
      <c r="G18" s="63" t="str">
        <f>IF($J18=0,"",IF(INDEX('Прайс и заказ'!K:K,$J18)="","",INDEX('Прайс и заказ'!K:K,$J18)))</f>
      </c>
      <c r="H18" s="62" t="str">
        <f>IF($J18=0,"",IF(INDEX('Прайс и заказ'!L:L,$J18)="","",INDEX('Прайс и заказ'!L:L,$J18)))</f>
      </c>
      <c r="I18" s="13" t="str">
        <f>IF($J18=0,"",IF(INDEX('Прайс и заказ'!M:M,$J18)="","",INDEX('Прайс и заказ'!M:M,$J18)))</f>
      </c>
      <c r="J18" t="str">
        <f>IFERROR(MATCH(10,'Прайс и заказ'!$N$7:$N$73,0)+6,0)</f>
      </c>
      <c r="L18" t="str">
        <f>IF($J18=0,"",IF(INDEX('Прайс и заказ'!Q:Q,$J18)="","",INDEX('Прайс и заказ'!Q:Q,$J18)))</f>
      </c>
    </row>
    <row r="19" spans="1:12" customHeight="1" ht="40">
      <c r="A19" s="13" t="str">
        <f>IF($J19=0,"",IFERROR(_xlfn.IMAGE(INDEX('Прайс и заказ'!$O:$O,$J19)),""))</f>
      </c>
      <c r="B19" s="61" t="str">
        <f>IF($J19=0,"",IF(INDEX('Прайс и заказ'!B:B,$J19)="","",INDEX('Прайс и заказ'!B:B,$J19)))</f>
      </c>
      <c r="C19" s="64" t="str">
        <f>IF($J19=0,"",IF(INDEX('Прайс и заказ'!C:C,$J19)="","",INDEX('Прайс и заказ'!C:C,$J19)))</f>
      </c>
      <c r="D19" s="64" t="str">
        <f>IF($J19=0,"",IF(INDEX('Прайс и заказ'!D:D,$J19)="","",INDEX('Прайс и заказ'!D:D,$J19)))</f>
      </c>
      <c r="E19" s="61" t="str">
        <f>IF($J19=0,"",IF(INDEX('Прайс и заказ'!F:F,$J19)="","",INDEX('Прайс и заказ'!F:F,$J19)))</f>
      </c>
      <c r="F19" s="62" t="str">
        <f>IF($J19=0,"",IF(INDEX('Прайс и заказ'!I:I,$J19)="","",INDEX('Прайс и заказ'!I:I,$J19)))</f>
      </c>
      <c r="G19" s="63" t="str">
        <f>IF($J19=0,"",IF(INDEX('Прайс и заказ'!K:K,$J19)="","",INDEX('Прайс и заказ'!K:K,$J19)))</f>
      </c>
      <c r="H19" s="62" t="str">
        <f>IF($J19=0,"",IF(INDEX('Прайс и заказ'!L:L,$J19)="","",INDEX('Прайс и заказ'!L:L,$J19)))</f>
      </c>
      <c r="I19" s="13" t="str">
        <f>IF($J19=0,"",IF(INDEX('Прайс и заказ'!M:M,$J19)="","",INDEX('Прайс и заказ'!M:M,$J19)))</f>
      </c>
      <c r="J19" t="str">
        <f>IFERROR(MATCH(11,'Прайс и заказ'!$N$7:$N$73,0)+6,0)</f>
      </c>
      <c r="L19" t="str">
        <f>IF($J19=0,"",IF(INDEX('Прайс и заказ'!Q:Q,$J19)="","",INDEX('Прайс и заказ'!Q:Q,$J19)))</f>
      </c>
    </row>
    <row r="20" spans="1:12" customHeight="1" ht="40">
      <c r="A20" s="13" t="str">
        <f>IF($J20=0,"",IFERROR(_xlfn.IMAGE(INDEX('Прайс и заказ'!$O:$O,$J20)),""))</f>
      </c>
      <c r="B20" s="61" t="str">
        <f>IF($J20=0,"",IF(INDEX('Прайс и заказ'!B:B,$J20)="","",INDEX('Прайс и заказ'!B:B,$J20)))</f>
      </c>
      <c r="C20" s="64" t="str">
        <f>IF($J20=0,"",IF(INDEX('Прайс и заказ'!C:C,$J20)="","",INDEX('Прайс и заказ'!C:C,$J20)))</f>
      </c>
      <c r="D20" s="64" t="str">
        <f>IF($J20=0,"",IF(INDEX('Прайс и заказ'!D:D,$J20)="","",INDEX('Прайс и заказ'!D:D,$J20)))</f>
      </c>
      <c r="E20" s="61" t="str">
        <f>IF($J20=0,"",IF(INDEX('Прайс и заказ'!F:F,$J20)="","",INDEX('Прайс и заказ'!F:F,$J20)))</f>
      </c>
      <c r="F20" s="62" t="str">
        <f>IF($J20=0,"",IF(INDEX('Прайс и заказ'!I:I,$J20)="","",INDEX('Прайс и заказ'!I:I,$J20)))</f>
      </c>
      <c r="G20" s="63" t="str">
        <f>IF($J20=0,"",IF(INDEX('Прайс и заказ'!K:K,$J20)="","",INDEX('Прайс и заказ'!K:K,$J20)))</f>
      </c>
      <c r="H20" s="62" t="str">
        <f>IF($J20=0,"",IF(INDEX('Прайс и заказ'!L:L,$J20)="","",INDEX('Прайс и заказ'!L:L,$J20)))</f>
      </c>
      <c r="I20" s="13" t="str">
        <f>IF($J20=0,"",IF(INDEX('Прайс и заказ'!M:M,$J20)="","",INDEX('Прайс и заказ'!M:M,$J20)))</f>
      </c>
      <c r="J20" t="str">
        <f>IFERROR(MATCH(12,'Прайс и заказ'!$N$7:$N$73,0)+6,0)</f>
      </c>
      <c r="L20" t="str">
        <f>IF($J20=0,"",IF(INDEX('Прайс и заказ'!Q:Q,$J20)="","",INDEX('Прайс и заказ'!Q:Q,$J20)))</f>
      </c>
    </row>
    <row r="21" spans="1:12" customHeight="1" ht="40">
      <c r="A21" s="13" t="str">
        <f>IF($J21=0,"",IFERROR(_xlfn.IMAGE(INDEX('Прайс и заказ'!$O:$O,$J21)),""))</f>
      </c>
      <c r="B21" s="61" t="str">
        <f>IF($J21=0,"",IF(INDEX('Прайс и заказ'!B:B,$J21)="","",INDEX('Прайс и заказ'!B:B,$J21)))</f>
      </c>
      <c r="C21" s="64" t="str">
        <f>IF($J21=0,"",IF(INDEX('Прайс и заказ'!C:C,$J21)="","",INDEX('Прайс и заказ'!C:C,$J21)))</f>
      </c>
      <c r="D21" s="64" t="str">
        <f>IF($J21=0,"",IF(INDEX('Прайс и заказ'!D:D,$J21)="","",INDEX('Прайс и заказ'!D:D,$J21)))</f>
      </c>
      <c r="E21" s="61" t="str">
        <f>IF($J21=0,"",IF(INDEX('Прайс и заказ'!F:F,$J21)="","",INDEX('Прайс и заказ'!F:F,$J21)))</f>
      </c>
      <c r="F21" s="62" t="str">
        <f>IF($J21=0,"",IF(INDEX('Прайс и заказ'!I:I,$J21)="","",INDEX('Прайс и заказ'!I:I,$J21)))</f>
      </c>
      <c r="G21" s="63" t="str">
        <f>IF($J21=0,"",IF(INDEX('Прайс и заказ'!K:K,$J21)="","",INDEX('Прайс и заказ'!K:K,$J21)))</f>
      </c>
      <c r="H21" s="62" t="str">
        <f>IF($J21=0,"",IF(INDEX('Прайс и заказ'!L:L,$J21)="","",INDEX('Прайс и заказ'!L:L,$J21)))</f>
      </c>
      <c r="I21" s="13" t="str">
        <f>IF($J21=0,"",IF(INDEX('Прайс и заказ'!M:M,$J21)="","",INDEX('Прайс и заказ'!M:M,$J21)))</f>
      </c>
      <c r="J21" t="str">
        <f>IFERROR(MATCH(13,'Прайс и заказ'!$N$7:$N$73,0)+6,0)</f>
      </c>
      <c r="L21" t="str">
        <f>IF($J21=0,"",IF(INDEX('Прайс и заказ'!Q:Q,$J21)="","",INDEX('Прайс и заказ'!Q:Q,$J21)))</f>
      </c>
    </row>
    <row r="22" spans="1:12" customHeight="1" ht="40">
      <c r="A22" s="13" t="str">
        <f>IF($J22=0,"",IFERROR(_xlfn.IMAGE(INDEX('Прайс и заказ'!$O:$O,$J22)),""))</f>
      </c>
      <c r="B22" s="61" t="str">
        <f>IF($J22=0,"",IF(INDEX('Прайс и заказ'!B:B,$J22)="","",INDEX('Прайс и заказ'!B:B,$J22)))</f>
      </c>
      <c r="C22" s="64" t="str">
        <f>IF($J22=0,"",IF(INDEX('Прайс и заказ'!C:C,$J22)="","",INDEX('Прайс и заказ'!C:C,$J22)))</f>
      </c>
      <c r="D22" s="64" t="str">
        <f>IF($J22=0,"",IF(INDEX('Прайс и заказ'!D:D,$J22)="","",INDEX('Прайс и заказ'!D:D,$J22)))</f>
      </c>
      <c r="E22" s="61" t="str">
        <f>IF($J22=0,"",IF(INDEX('Прайс и заказ'!F:F,$J22)="","",INDEX('Прайс и заказ'!F:F,$J22)))</f>
      </c>
      <c r="F22" s="62" t="str">
        <f>IF($J22=0,"",IF(INDEX('Прайс и заказ'!I:I,$J22)="","",INDEX('Прайс и заказ'!I:I,$J22)))</f>
      </c>
      <c r="G22" s="63" t="str">
        <f>IF($J22=0,"",IF(INDEX('Прайс и заказ'!K:K,$J22)="","",INDEX('Прайс и заказ'!K:K,$J22)))</f>
      </c>
      <c r="H22" s="62" t="str">
        <f>IF($J22=0,"",IF(INDEX('Прайс и заказ'!L:L,$J22)="","",INDEX('Прайс и заказ'!L:L,$J22)))</f>
      </c>
      <c r="I22" s="13" t="str">
        <f>IF($J22=0,"",IF(INDEX('Прайс и заказ'!M:M,$J22)="","",INDEX('Прайс и заказ'!M:M,$J22)))</f>
      </c>
      <c r="J22" t="str">
        <f>IFERROR(MATCH(14,'Прайс и заказ'!$N$7:$N$73,0)+6,0)</f>
      </c>
      <c r="L22" t="str">
        <f>IF($J22=0,"",IF(INDEX('Прайс и заказ'!Q:Q,$J22)="","",INDEX('Прайс и заказ'!Q:Q,$J22)))</f>
      </c>
    </row>
    <row r="23" spans="1:12" customHeight="1" ht="40">
      <c r="A23" s="13" t="str">
        <f>IF($J23=0,"",IFERROR(_xlfn.IMAGE(INDEX('Прайс и заказ'!$O:$O,$J23)),""))</f>
      </c>
      <c r="B23" s="61" t="str">
        <f>IF($J23=0,"",IF(INDEX('Прайс и заказ'!B:B,$J23)="","",INDEX('Прайс и заказ'!B:B,$J23)))</f>
      </c>
      <c r="C23" s="64" t="str">
        <f>IF($J23=0,"",IF(INDEX('Прайс и заказ'!C:C,$J23)="","",INDEX('Прайс и заказ'!C:C,$J23)))</f>
      </c>
      <c r="D23" s="64" t="str">
        <f>IF($J23=0,"",IF(INDEX('Прайс и заказ'!D:D,$J23)="","",INDEX('Прайс и заказ'!D:D,$J23)))</f>
      </c>
      <c r="E23" s="61" t="str">
        <f>IF($J23=0,"",IF(INDEX('Прайс и заказ'!F:F,$J23)="","",INDEX('Прайс и заказ'!F:F,$J23)))</f>
      </c>
      <c r="F23" s="62" t="str">
        <f>IF($J23=0,"",IF(INDEX('Прайс и заказ'!I:I,$J23)="","",INDEX('Прайс и заказ'!I:I,$J23)))</f>
      </c>
      <c r="G23" s="63" t="str">
        <f>IF($J23=0,"",IF(INDEX('Прайс и заказ'!K:K,$J23)="","",INDEX('Прайс и заказ'!K:K,$J23)))</f>
      </c>
      <c r="H23" s="62" t="str">
        <f>IF($J23=0,"",IF(INDEX('Прайс и заказ'!L:L,$J23)="","",INDEX('Прайс и заказ'!L:L,$J23)))</f>
      </c>
      <c r="I23" s="13" t="str">
        <f>IF($J23=0,"",IF(INDEX('Прайс и заказ'!M:M,$J23)="","",INDEX('Прайс и заказ'!M:M,$J23)))</f>
      </c>
      <c r="J23" t="str">
        <f>IFERROR(MATCH(15,'Прайс и заказ'!$N$7:$N$73,0)+6,0)</f>
      </c>
      <c r="L23" t="str">
        <f>IF($J23=0,"",IF(INDEX('Прайс и заказ'!Q:Q,$J23)="","",INDEX('Прайс и заказ'!Q:Q,$J23)))</f>
      </c>
    </row>
    <row r="24" spans="1:12" customHeight="1" ht="40">
      <c r="A24" s="13" t="str">
        <f>IF($J24=0,"",IFERROR(_xlfn.IMAGE(INDEX('Прайс и заказ'!$O:$O,$J24)),""))</f>
      </c>
      <c r="B24" s="61" t="str">
        <f>IF($J24=0,"",IF(INDEX('Прайс и заказ'!B:B,$J24)="","",INDEX('Прайс и заказ'!B:B,$J24)))</f>
      </c>
      <c r="C24" s="64" t="str">
        <f>IF($J24=0,"",IF(INDEX('Прайс и заказ'!C:C,$J24)="","",INDEX('Прайс и заказ'!C:C,$J24)))</f>
      </c>
      <c r="D24" s="64" t="str">
        <f>IF($J24=0,"",IF(INDEX('Прайс и заказ'!D:D,$J24)="","",INDEX('Прайс и заказ'!D:D,$J24)))</f>
      </c>
      <c r="E24" s="61" t="str">
        <f>IF($J24=0,"",IF(INDEX('Прайс и заказ'!F:F,$J24)="","",INDEX('Прайс и заказ'!F:F,$J24)))</f>
      </c>
      <c r="F24" s="62" t="str">
        <f>IF($J24=0,"",IF(INDEX('Прайс и заказ'!I:I,$J24)="","",INDEX('Прайс и заказ'!I:I,$J24)))</f>
      </c>
      <c r="G24" s="63" t="str">
        <f>IF($J24=0,"",IF(INDEX('Прайс и заказ'!K:K,$J24)="","",INDEX('Прайс и заказ'!K:K,$J24)))</f>
      </c>
      <c r="H24" s="62" t="str">
        <f>IF($J24=0,"",IF(INDEX('Прайс и заказ'!L:L,$J24)="","",INDEX('Прайс и заказ'!L:L,$J24)))</f>
      </c>
      <c r="I24" s="13" t="str">
        <f>IF($J24=0,"",IF(INDEX('Прайс и заказ'!M:M,$J24)="","",INDEX('Прайс и заказ'!M:M,$J24)))</f>
      </c>
      <c r="J24" t="str">
        <f>IFERROR(MATCH(16,'Прайс и заказ'!$N$7:$N$73,0)+6,0)</f>
      </c>
      <c r="L24" t="str">
        <f>IF($J24=0,"",IF(INDEX('Прайс и заказ'!Q:Q,$J24)="","",INDEX('Прайс и заказ'!Q:Q,$J24)))</f>
      </c>
    </row>
    <row r="25" spans="1:12" customHeight="1" ht="40">
      <c r="A25" s="13" t="str">
        <f>IF($J25=0,"",IFERROR(_xlfn.IMAGE(INDEX('Прайс и заказ'!$O:$O,$J25)),""))</f>
      </c>
      <c r="B25" s="61" t="str">
        <f>IF($J25=0,"",IF(INDEX('Прайс и заказ'!B:B,$J25)="","",INDEX('Прайс и заказ'!B:B,$J25)))</f>
      </c>
      <c r="C25" s="64" t="str">
        <f>IF($J25=0,"",IF(INDEX('Прайс и заказ'!C:C,$J25)="","",INDEX('Прайс и заказ'!C:C,$J25)))</f>
      </c>
      <c r="D25" s="64" t="str">
        <f>IF($J25=0,"",IF(INDEX('Прайс и заказ'!D:D,$J25)="","",INDEX('Прайс и заказ'!D:D,$J25)))</f>
      </c>
      <c r="E25" s="61" t="str">
        <f>IF($J25=0,"",IF(INDEX('Прайс и заказ'!F:F,$J25)="","",INDEX('Прайс и заказ'!F:F,$J25)))</f>
      </c>
      <c r="F25" s="62" t="str">
        <f>IF($J25=0,"",IF(INDEX('Прайс и заказ'!I:I,$J25)="","",INDEX('Прайс и заказ'!I:I,$J25)))</f>
      </c>
      <c r="G25" s="63" t="str">
        <f>IF($J25=0,"",IF(INDEX('Прайс и заказ'!K:K,$J25)="","",INDEX('Прайс и заказ'!K:K,$J25)))</f>
      </c>
      <c r="H25" s="62" t="str">
        <f>IF($J25=0,"",IF(INDEX('Прайс и заказ'!L:L,$J25)="","",INDEX('Прайс и заказ'!L:L,$J25)))</f>
      </c>
      <c r="I25" s="13" t="str">
        <f>IF($J25=0,"",IF(INDEX('Прайс и заказ'!M:M,$J25)="","",INDEX('Прайс и заказ'!M:M,$J25)))</f>
      </c>
      <c r="J25" t="str">
        <f>IFERROR(MATCH(17,'Прайс и заказ'!$N$7:$N$73,0)+6,0)</f>
      </c>
      <c r="L25" t="str">
        <f>IF($J25=0,"",IF(INDEX('Прайс и заказ'!Q:Q,$J25)="","",INDEX('Прайс и заказ'!Q:Q,$J25)))</f>
      </c>
    </row>
    <row r="26" spans="1:12" customHeight="1" ht="40">
      <c r="A26" s="13" t="str">
        <f>IF($J26=0,"",IFERROR(_xlfn.IMAGE(INDEX('Прайс и заказ'!$O:$O,$J26)),""))</f>
      </c>
      <c r="B26" s="61" t="str">
        <f>IF($J26=0,"",IF(INDEX('Прайс и заказ'!B:B,$J26)="","",INDEX('Прайс и заказ'!B:B,$J26)))</f>
      </c>
      <c r="C26" s="64" t="str">
        <f>IF($J26=0,"",IF(INDEX('Прайс и заказ'!C:C,$J26)="","",INDEX('Прайс и заказ'!C:C,$J26)))</f>
      </c>
      <c r="D26" s="64" t="str">
        <f>IF($J26=0,"",IF(INDEX('Прайс и заказ'!D:D,$J26)="","",INDEX('Прайс и заказ'!D:D,$J26)))</f>
      </c>
      <c r="E26" s="61" t="str">
        <f>IF($J26=0,"",IF(INDEX('Прайс и заказ'!F:F,$J26)="","",INDEX('Прайс и заказ'!F:F,$J26)))</f>
      </c>
      <c r="F26" s="62" t="str">
        <f>IF($J26=0,"",IF(INDEX('Прайс и заказ'!I:I,$J26)="","",INDEX('Прайс и заказ'!I:I,$J26)))</f>
      </c>
      <c r="G26" s="63" t="str">
        <f>IF($J26=0,"",IF(INDEX('Прайс и заказ'!K:K,$J26)="","",INDEX('Прайс и заказ'!K:K,$J26)))</f>
      </c>
      <c r="H26" s="62" t="str">
        <f>IF($J26=0,"",IF(INDEX('Прайс и заказ'!L:L,$J26)="","",INDEX('Прайс и заказ'!L:L,$J26)))</f>
      </c>
      <c r="I26" s="13" t="str">
        <f>IF($J26=0,"",IF(INDEX('Прайс и заказ'!M:M,$J26)="","",INDEX('Прайс и заказ'!M:M,$J26)))</f>
      </c>
      <c r="J26" t="str">
        <f>IFERROR(MATCH(18,'Прайс и заказ'!$N$7:$N$73,0)+6,0)</f>
      </c>
      <c r="L26" t="str">
        <f>IF($J26=0,"",IF(INDEX('Прайс и заказ'!Q:Q,$J26)="","",INDEX('Прайс и заказ'!Q:Q,$J26)))</f>
      </c>
    </row>
    <row r="27" spans="1:12" customHeight="1" ht="40">
      <c r="A27" s="13" t="str">
        <f>IF($J27=0,"",IFERROR(_xlfn.IMAGE(INDEX('Прайс и заказ'!$O:$O,$J27)),""))</f>
      </c>
      <c r="B27" s="61" t="str">
        <f>IF($J27=0,"",IF(INDEX('Прайс и заказ'!B:B,$J27)="","",INDEX('Прайс и заказ'!B:B,$J27)))</f>
      </c>
      <c r="C27" s="64" t="str">
        <f>IF($J27=0,"",IF(INDEX('Прайс и заказ'!C:C,$J27)="","",INDEX('Прайс и заказ'!C:C,$J27)))</f>
      </c>
      <c r="D27" s="64" t="str">
        <f>IF($J27=0,"",IF(INDEX('Прайс и заказ'!D:D,$J27)="","",INDEX('Прайс и заказ'!D:D,$J27)))</f>
      </c>
      <c r="E27" s="61" t="str">
        <f>IF($J27=0,"",IF(INDEX('Прайс и заказ'!F:F,$J27)="","",INDEX('Прайс и заказ'!F:F,$J27)))</f>
      </c>
      <c r="F27" s="62" t="str">
        <f>IF($J27=0,"",IF(INDEX('Прайс и заказ'!I:I,$J27)="","",INDEX('Прайс и заказ'!I:I,$J27)))</f>
      </c>
      <c r="G27" s="63" t="str">
        <f>IF($J27=0,"",IF(INDEX('Прайс и заказ'!K:K,$J27)="","",INDEX('Прайс и заказ'!K:K,$J27)))</f>
      </c>
      <c r="H27" s="62" t="str">
        <f>IF($J27=0,"",IF(INDEX('Прайс и заказ'!L:L,$J27)="","",INDEX('Прайс и заказ'!L:L,$J27)))</f>
      </c>
      <c r="I27" s="13" t="str">
        <f>IF($J27=0,"",IF(INDEX('Прайс и заказ'!M:M,$J27)="","",INDEX('Прайс и заказ'!M:M,$J27)))</f>
      </c>
      <c r="J27" t="str">
        <f>IFERROR(MATCH(19,'Прайс и заказ'!$N$7:$N$73,0)+6,0)</f>
      </c>
      <c r="L27" t="str">
        <f>IF($J27=0,"",IF(INDEX('Прайс и заказ'!Q:Q,$J27)="","",INDEX('Прайс и заказ'!Q:Q,$J27)))</f>
      </c>
    </row>
    <row r="28" spans="1:12" customHeight="1" ht="40">
      <c r="A28" s="13" t="str">
        <f>IF($J28=0,"",IFERROR(_xlfn.IMAGE(INDEX('Прайс и заказ'!$O:$O,$J28)),""))</f>
      </c>
      <c r="B28" s="61" t="str">
        <f>IF($J28=0,"",IF(INDEX('Прайс и заказ'!B:B,$J28)="","",INDEX('Прайс и заказ'!B:B,$J28)))</f>
      </c>
      <c r="C28" s="64" t="str">
        <f>IF($J28=0,"",IF(INDEX('Прайс и заказ'!C:C,$J28)="","",INDEX('Прайс и заказ'!C:C,$J28)))</f>
      </c>
      <c r="D28" s="64" t="str">
        <f>IF($J28=0,"",IF(INDEX('Прайс и заказ'!D:D,$J28)="","",INDEX('Прайс и заказ'!D:D,$J28)))</f>
      </c>
      <c r="E28" s="61" t="str">
        <f>IF($J28=0,"",IF(INDEX('Прайс и заказ'!F:F,$J28)="","",INDEX('Прайс и заказ'!F:F,$J28)))</f>
      </c>
      <c r="F28" s="62" t="str">
        <f>IF($J28=0,"",IF(INDEX('Прайс и заказ'!I:I,$J28)="","",INDEX('Прайс и заказ'!I:I,$J28)))</f>
      </c>
      <c r="G28" s="63" t="str">
        <f>IF($J28=0,"",IF(INDEX('Прайс и заказ'!K:K,$J28)="","",INDEX('Прайс и заказ'!K:K,$J28)))</f>
      </c>
      <c r="H28" s="62" t="str">
        <f>IF($J28=0,"",IF(INDEX('Прайс и заказ'!L:L,$J28)="","",INDEX('Прайс и заказ'!L:L,$J28)))</f>
      </c>
      <c r="I28" s="13" t="str">
        <f>IF($J28=0,"",IF(INDEX('Прайс и заказ'!M:M,$J28)="","",INDEX('Прайс и заказ'!M:M,$J28)))</f>
      </c>
      <c r="J28" t="str">
        <f>IFERROR(MATCH(20,'Прайс и заказ'!$N$7:$N$73,0)+6,0)</f>
      </c>
      <c r="L28" t="str">
        <f>IF($J28=0,"",IF(INDEX('Прайс и заказ'!Q:Q,$J28)="","",INDEX('Прайс и заказ'!Q:Q,$J28)))</f>
      </c>
    </row>
    <row r="29" spans="1:12" customHeight="1" ht="40">
      <c r="A29" s="13" t="str">
        <f>IF($J29=0,"",IFERROR(_xlfn.IMAGE(INDEX('Прайс и заказ'!$O:$O,$J29)),""))</f>
      </c>
      <c r="B29" s="61" t="str">
        <f>IF($J29=0,"",IF(INDEX('Прайс и заказ'!B:B,$J29)="","",INDEX('Прайс и заказ'!B:B,$J29)))</f>
      </c>
      <c r="C29" s="64" t="str">
        <f>IF($J29=0,"",IF(INDEX('Прайс и заказ'!C:C,$J29)="","",INDEX('Прайс и заказ'!C:C,$J29)))</f>
      </c>
      <c r="D29" s="64" t="str">
        <f>IF($J29=0,"",IF(INDEX('Прайс и заказ'!D:D,$J29)="","",INDEX('Прайс и заказ'!D:D,$J29)))</f>
      </c>
      <c r="E29" s="61" t="str">
        <f>IF($J29=0,"",IF(INDEX('Прайс и заказ'!F:F,$J29)="","",INDEX('Прайс и заказ'!F:F,$J29)))</f>
      </c>
      <c r="F29" s="62" t="str">
        <f>IF($J29=0,"",IF(INDEX('Прайс и заказ'!I:I,$J29)="","",INDEX('Прайс и заказ'!I:I,$J29)))</f>
      </c>
      <c r="G29" s="63" t="str">
        <f>IF($J29=0,"",IF(INDEX('Прайс и заказ'!K:K,$J29)="","",INDEX('Прайс и заказ'!K:K,$J29)))</f>
      </c>
      <c r="H29" s="62" t="str">
        <f>IF($J29=0,"",IF(INDEX('Прайс и заказ'!L:L,$J29)="","",INDEX('Прайс и заказ'!L:L,$J29)))</f>
      </c>
      <c r="I29" s="13" t="str">
        <f>IF($J29=0,"",IF(INDEX('Прайс и заказ'!M:M,$J29)="","",INDEX('Прайс и заказ'!M:M,$J29)))</f>
      </c>
      <c r="J29" t="str">
        <f>IFERROR(MATCH(21,'Прайс и заказ'!$N$7:$N$73,0)+6,0)</f>
      </c>
      <c r="L29" t="str">
        <f>IF($J29=0,"",IF(INDEX('Прайс и заказ'!Q:Q,$J29)="","",INDEX('Прайс и заказ'!Q:Q,$J29)))</f>
      </c>
    </row>
    <row r="30" spans="1:12" customHeight="1" ht="40">
      <c r="A30" s="13" t="str">
        <f>IF($J30=0,"",IFERROR(_xlfn.IMAGE(INDEX('Прайс и заказ'!$O:$O,$J30)),""))</f>
      </c>
      <c r="B30" s="61" t="str">
        <f>IF($J30=0,"",IF(INDEX('Прайс и заказ'!B:B,$J30)="","",INDEX('Прайс и заказ'!B:B,$J30)))</f>
      </c>
      <c r="C30" s="64" t="str">
        <f>IF($J30=0,"",IF(INDEX('Прайс и заказ'!C:C,$J30)="","",INDEX('Прайс и заказ'!C:C,$J30)))</f>
      </c>
      <c r="D30" s="64" t="str">
        <f>IF($J30=0,"",IF(INDEX('Прайс и заказ'!D:D,$J30)="","",INDEX('Прайс и заказ'!D:D,$J30)))</f>
      </c>
      <c r="E30" s="61" t="str">
        <f>IF($J30=0,"",IF(INDEX('Прайс и заказ'!F:F,$J30)="","",INDEX('Прайс и заказ'!F:F,$J30)))</f>
      </c>
      <c r="F30" s="62" t="str">
        <f>IF($J30=0,"",IF(INDEX('Прайс и заказ'!I:I,$J30)="","",INDEX('Прайс и заказ'!I:I,$J30)))</f>
      </c>
      <c r="G30" s="63" t="str">
        <f>IF($J30=0,"",IF(INDEX('Прайс и заказ'!K:K,$J30)="","",INDEX('Прайс и заказ'!K:K,$J30)))</f>
      </c>
      <c r="H30" s="62" t="str">
        <f>IF($J30=0,"",IF(INDEX('Прайс и заказ'!L:L,$J30)="","",INDEX('Прайс и заказ'!L:L,$J30)))</f>
      </c>
      <c r="I30" s="13" t="str">
        <f>IF($J30=0,"",IF(INDEX('Прайс и заказ'!M:M,$J30)="","",INDEX('Прайс и заказ'!M:M,$J30)))</f>
      </c>
      <c r="J30" t="str">
        <f>IFERROR(MATCH(22,'Прайс и заказ'!$N$7:$N$73,0)+6,0)</f>
      </c>
      <c r="L30" t="str">
        <f>IF($J30=0,"",IF(INDEX('Прайс и заказ'!Q:Q,$J30)="","",INDEX('Прайс и заказ'!Q:Q,$J30)))</f>
      </c>
    </row>
    <row r="31" spans="1:12" customHeight="1" ht="40">
      <c r="A31" s="13" t="str">
        <f>IF($J31=0,"",IFERROR(_xlfn.IMAGE(INDEX('Прайс и заказ'!$O:$O,$J31)),""))</f>
      </c>
      <c r="B31" s="61" t="str">
        <f>IF($J31=0,"",IF(INDEX('Прайс и заказ'!B:B,$J31)="","",INDEX('Прайс и заказ'!B:B,$J31)))</f>
      </c>
      <c r="C31" s="64" t="str">
        <f>IF($J31=0,"",IF(INDEX('Прайс и заказ'!C:C,$J31)="","",INDEX('Прайс и заказ'!C:C,$J31)))</f>
      </c>
      <c r="D31" s="64" t="str">
        <f>IF($J31=0,"",IF(INDEX('Прайс и заказ'!D:D,$J31)="","",INDEX('Прайс и заказ'!D:D,$J31)))</f>
      </c>
      <c r="E31" s="61" t="str">
        <f>IF($J31=0,"",IF(INDEX('Прайс и заказ'!F:F,$J31)="","",INDEX('Прайс и заказ'!F:F,$J31)))</f>
      </c>
      <c r="F31" s="62" t="str">
        <f>IF($J31=0,"",IF(INDEX('Прайс и заказ'!I:I,$J31)="","",INDEX('Прайс и заказ'!I:I,$J31)))</f>
      </c>
      <c r="G31" s="63" t="str">
        <f>IF($J31=0,"",IF(INDEX('Прайс и заказ'!K:K,$J31)="","",INDEX('Прайс и заказ'!K:K,$J31)))</f>
      </c>
      <c r="H31" s="62" t="str">
        <f>IF($J31=0,"",IF(INDEX('Прайс и заказ'!L:L,$J31)="","",INDEX('Прайс и заказ'!L:L,$J31)))</f>
      </c>
      <c r="I31" s="13" t="str">
        <f>IF($J31=0,"",IF(INDEX('Прайс и заказ'!M:M,$J31)="","",INDEX('Прайс и заказ'!M:M,$J31)))</f>
      </c>
      <c r="J31" t="str">
        <f>IFERROR(MATCH(23,'Прайс и заказ'!$N$7:$N$73,0)+6,0)</f>
      </c>
      <c r="L31" t="str">
        <f>IF($J31=0,"",IF(INDEX('Прайс и заказ'!Q:Q,$J31)="","",INDEX('Прайс и заказ'!Q:Q,$J31)))</f>
      </c>
    </row>
    <row r="32" spans="1:12" customHeight="1" ht="40">
      <c r="A32" s="13" t="str">
        <f>IF($J32=0,"",IFERROR(_xlfn.IMAGE(INDEX('Прайс и заказ'!$O:$O,$J32)),""))</f>
      </c>
      <c r="B32" s="61" t="str">
        <f>IF($J32=0,"",IF(INDEX('Прайс и заказ'!B:B,$J32)="","",INDEX('Прайс и заказ'!B:B,$J32)))</f>
      </c>
      <c r="C32" s="64" t="str">
        <f>IF($J32=0,"",IF(INDEX('Прайс и заказ'!C:C,$J32)="","",INDEX('Прайс и заказ'!C:C,$J32)))</f>
      </c>
      <c r="D32" s="64" t="str">
        <f>IF($J32=0,"",IF(INDEX('Прайс и заказ'!D:D,$J32)="","",INDEX('Прайс и заказ'!D:D,$J32)))</f>
      </c>
      <c r="E32" s="61" t="str">
        <f>IF($J32=0,"",IF(INDEX('Прайс и заказ'!F:F,$J32)="","",INDEX('Прайс и заказ'!F:F,$J32)))</f>
      </c>
      <c r="F32" s="62" t="str">
        <f>IF($J32=0,"",IF(INDEX('Прайс и заказ'!I:I,$J32)="","",INDEX('Прайс и заказ'!I:I,$J32)))</f>
      </c>
      <c r="G32" s="63" t="str">
        <f>IF($J32=0,"",IF(INDEX('Прайс и заказ'!K:K,$J32)="","",INDEX('Прайс и заказ'!K:K,$J32)))</f>
      </c>
      <c r="H32" s="62" t="str">
        <f>IF($J32=0,"",IF(INDEX('Прайс и заказ'!L:L,$J32)="","",INDEX('Прайс и заказ'!L:L,$J32)))</f>
      </c>
      <c r="I32" s="13" t="str">
        <f>IF($J32=0,"",IF(INDEX('Прайс и заказ'!M:M,$J32)="","",INDEX('Прайс и заказ'!M:M,$J32)))</f>
      </c>
      <c r="J32" t="str">
        <f>IFERROR(MATCH(24,'Прайс и заказ'!$N$7:$N$73,0)+6,0)</f>
      </c>
      <c r="L32" t="str">
        <f>IF($J32=0,"",IF(INDEX('Прайс и заказ'!Q:Q,$J32)="","",INDEX('Прайс и заказ'!Q:Q,$J32)))</f>
      </c>
    </row>
    <row r="33" spans="1:12" customHeight="1" ht="40">
      <c r="A33" s="13" t="str">
        <f>IF($J33=0,"",IFERROR(_xlfn.IMAGE(INDEX('Прайс и заказ'!$O:$O,$J33)),""))</f>
      </c>
      <c r="B33" s="61" t="str">
        <f>IF($J33=0,"",IF(INDEX('Прайс и заказ'!B:B,$J33)="","",INDEX('Прайс и заказ'!B:B,$J33)))</f>
      </c>
      <c r="C33" s="64" t="str">
        <f>IF($J33=0,"",IF(INDEX('Прайс и заказ'!C:C,$J33)="","",INDEX('Прайс и заказ'!C:C,$J33)))</f>
      </c>
      <c r="D33" s="64" t="str">
        <f>IF($J33=0,"",IF(INDEX('Прайс и заказ'!D:D,$J33)="","",INDEX('Прайс и заказ'!D:D,$J33)))</f>
      </c>
      <c r="E33" s="61" t="str">
        <f>IF($J33=0,"",IF(INDEX('Прайс и заказ'!F:F,$J33)="","",INDEX('Прайс и заказ'!F:F,$J33)))</f>
      </c>
      <c r="F33" s="62" t="str">
        <f>IF($J33=0,"",IF(INDEX('Прайс и заказ'!I:I,$J33)="","",INDEX('Прайс и заказ'!I:I,$J33)))</f>
      </c>
      <c r="G33" s="63" t="str">
        <f>IF($J33=0,"",IF(INDEX('Прайс и заказ'!K:K,$J33)="","",INDEX('Прайс и заказ'!K:K,$J33)))</f>
      </c>
      <c r="H33" s="62" t="str">
        <f>IF($J33=0,"",IF(INDEX('Прайс и заказ'!L:L,$J33)="","",INDEX('Прайс и заказ'!L:L,$J33)))</f>
      </c>
      <c r="I33" s="13" t="str">
        <f>IF($J33=0,"",IF(INDEX('Прайс и заказ'!M:M,$J33)="","",INDEX('Прайс и заказ'!M:M,$J33)))</f>
      </c>
      <c r="J33" t="str">
        <f>IFERROR(MATCH(25,'Прайс и заказ'!$N$7:$N$73,0)+6,0)</f>
      </c>
      <c r="L33" t="str">
        <f>IF($J33=0,"",IF(INDEX('Прайс и заказ'!Q:Q,$J33)="","",INDEX('Прайс и заказ'!Q:Q,$J33)))</f>
      </c>
    </row>
    <row r="34" spans="1:12" customHeight="1" ht="40">
      <c r="A34" s="13" t="str">
        <f>IF($J34=0,"",IFERROR(_xlfn.IMAGE(INDEX('Прайс и заказ'!$O:$O,$J34)),""))</f>
      </c>
      <c r="B34" s="61" t="str">
        <f>IF($J34=0,"",IF(INDEX('Прайс и заказ'!B:B,$J34)="","",INDEX('Прайс и заказ'!B:B,$J34)))</f>
      </c>
      <c r="C34" s="64" t="str">
        <f>IF($J34=0,"",IF(INDEX('Прайс и заказ'!C:C,$J34)="","",INDEX('Прайс и заказ'!C:C,$J34)))</f>
      </c>
      <c r="D34" s="64" t="str">
        <f>IF($J34=0,"",IF(INDEX('Прайс и заказ'!D:D,$J34)="","",INDEX('Прайс и заказ'!D:D,$J34)))</f>
      </c>
      <c r="E34" s="61" t="str">
        <f>IF($J34=0,"",IF(INDEX('Прайс и заказ'!F:F,$J34)="","",INDEX('Прайс и заказ'!F:F,$J34)))</f>
      </c>
      <c r="F34" s="62" t="str">
        <f>IF($J34=0,"",IF(INDEX('Прайс и заказ'!I:I,$J34)="","",INDEX('Прайс и заказ'!I:I,$J34)))</f>
      </c>
      <c r="G34" s="63" t="str">
        <f>IF($J34=0,"",IF(INDEX('Прайс и заказ'!K:K,$J34)="","",INDEX('Прайс и заказ'!K:K,$J34)))</f>
      </c>
      <c r="H34" s="62" t="str">
        <f>IF($J34=0,"",IF(INDEX('Прайс и заказ'!L:L,$J34)="","",INDEX('Прайс и заказ'!L:L,$J34)))</f>
      </c>
      <c r="I34" s="13" t="str">
        <f>IF($J34=0,"",IF(INDEX('Прайс и заказ'!M:M,$J34)="","",INDEX('Прайс и заказ'!M:M,$J34)))</f>
      </c>
      <c r="J34" t="str">
        <f>IFERROR(MATCH(26,'Прайс и заказ'!$N$7:$N$73,0)+6,0)</f>
      </c>
      <c r="L34" t="str">
        <f>IF($J34=0,"",IF(INDEX('Прайс и заказ'!Q:Q,$J34)="","",INDEX('Прайс и заказ'!Q:Q,$J34)))</f>
      </c>
    </row>
    <row r="35" spans="1:12" customHeight="1" ht="40">
      <c r="A35" s="13" t="str">
        <f>IF($J35=0,"",IFERROR(_xlfn.IMAGE(INDEX('Прайс и заказ'!$O:$O,$J35)),""))</f>
      </c>
      <c r="B35" s="61" t="str">
        <f>IF($J35=0,"",IF(INDEX('Прайс и заказ'!B:B,$J35)="","",INDEX('Прайс и заказ'!B:B,$J35)))</f>
      </c>
      <c r="C35" s="64" t="str">
        <f>IF($J35=0,"",IF(INDEX('Прайс и заказ'!C:C,$J35)="","",INDEX('Прайс и заказ'!C:C,$J35)))</f>
      </c>
      <c r="D35" s="64" t="str">
        <f>IF($J35=0,"",IF(INDEX('Прайс и заказ'!D:D,$J35)="","",INDEX('Прайс и заказ'!D:D,$J35)))</f>
      </c>
      <c r="E35" s="61" t="str">
        <f>IF($J35=0,"",IF(INDEX('Прайс и заказ'!F:F,$J35)="","",INDEX('Прайс и заказ'!F:F,$J35)))</f>
      </c>
      <c r="F35" s="62" t="str">
        <f>IF($J35=0,"",IF(INDEX('Прайс и заказ'!I:I,$J35)="","",INDEX('Прайс и заказ'!I:I,$J35)))</f>
      </c>
      <c r="G35" s="63" t="str">
        <f>IF($J35=0,"",IF(INDEX('Прайс и заказ'!K:K,$J35)="","",INDEX('Прайс и заказ'!K:K,$J35)))</f>
      </c>
      <c r="H35" s="62" t="str">
        <f>IF($J35=0,"",IF(INDEX('Прайс и заказ'!L:L,$J35)="","",INDEX('Прайс и заказ'!L:L,$J35)))</f>
      </c>
      <c r="I35" s="13" t="str">
        <f>IF($J35=0,"",IF(INDEX('Прайс и заказ'!M:M,$J35)="","",INDEX('Прайс и заказ'!M:M,$J35)))</f>
      </c>
      <c r="J35" t="str">
        <f>IFERROR(MATCH(27,'Прайс и заказ'!$N$7:$N$73,0)+6,0)</f>
      </c>
      <c r="L35" t="str">
        <f>IF($J35=0,"",IF(INDEX('Прайс и заказ'!Q:Q,$J35)="","",INDEX('Прайс и заказ'!Q:Q,$J35)))</f>
      </c>
    </row>
    <row r="36" spans="1:12" customHeight="1" ht="40">
      <c r="A36" s="13" t="str">
        <f>IF($J36=0,"",IFERROR(_xlfn.IMAGE(INDEX('Прайс и заказ'!$O:$O,$J36)),""))</f>
      </c>
      <c r="B36" s="61" t="str">
        <f>IF($J36=0,"",IF(INDEX('Прайс и заказ'!B:B,$J36)="","",INDEX('Прайс и заказ'!B:B,$J36)))</f>
      </c>
      <c r="C36" s="64" t="str">
        <f>IF($J36=0,"",IF(INDEX('Прайс и заказ'!C:C,$J36)="","",INDEX('Прайс и заказ'!C:C,$J36)))</f>
      </c>
      <c r="D36" s="64" t="str">
        <f>IF($J36=0,"",IF(INDEX('Прайс и заказ'!D:D,$J36)="","",INDEX('Прайс и заказ'!D:D,$J36)))</f>
      </c>
      <c r="E36" s="61" t="str">
        <f>IF($J36=0,"",IF(INDEX('Прайс и заказ'!F:F,$J36)="","",INDEX('Прайс и заказ'!F:F,$J36)))</f>
      </c>
      <c r="F36" s="62" t="str">
        <f>IF($J36=0,"",IF(INDEX('Прайс и заказ'!I:I,$J36)="","",INDEX('Прайс и заказ'!I:I,$J36)))</f>
      </c>
      <c r="G36" s="63" t="str">
        <f>IF($J36=0,"",IF(INDEX('Прайс и заказ'!K:K,$J36)="","",INDEX('Прайс и заказ'!K:K,$J36)))</f>
      </c>
      <c r="H36" s="62" t="str">
        <f>IF($J36=0,"",IF(INDEX('Прайс и заказ'!L:L,$J36)="","",INDEX('Прайс и заказ'!L:L,$J36)))</f>
      </c>
      <c r="I36" s="13" t="str">
        <f>IF($J36=0,"",IF(INDEX('Прайс и заказ'!M:M,$J36)="","",INDEX('Прайс и заказ'!M:M,$J36)))</f>
      </c>
      <c r="J36" t="str">
        <f>IFERROR(MATCH(28,'Прайс и заказ'!$N$7:$N$73,0)+6,0)</f>
      </c>
      <c r="L36" t="str">
        <f>IF($J36=0,"",IF(INDEX('Прайс и заказ'!Q:Q,$J36)="","",INDEX('Прайс и заказ'!Q:Q,$J36)))</f>
      </c>
    </row>
    <row r="37" spans="1:12" customHeight="1" ht="40">
      <c r="A37" s="13" t="str">
        <f>IF($J37=0,"",IFERROR(_xlfn.IMAGE(INDEX('Прайс и заказ'!$O:$O,$J37)),""))</f>
      </c>
      <c r="B37" s="61" t="str">
        <f>IF($J37=0,"",IF(INDEX('Прайс и заказ'!B:B,$J37)="","",INDEX('Прайс и заказ'!B:B,$J37)))</f>
      </c>
      <c r="C37" s="64" t="str">
        <f>IF($J37=0,"",IF(INDEX('Прайс и заказ'!C:C,$J37)="","",INDEX('Прайс и заказ'!C:C,$J37)))</f>
      </c>
      <c r="D37" s="64" t="str">
        <f>IF($J37=0,"",IF(INDEX('Прайс и заказ'!D:D,$J37)="","",INDEX('Прайс и заказ'!D:D,$J37)))</f>
      </c>
      <c r="E37" s="61" t="str">
        <f>IF($J37=0,"",IF(INDEX('Прайс и заказ'!F:F,$J37)="","",INDEX('Прайс и заказ'!F:F,$J37)))</f>
      </c>
      <c r="F37" s="62" t="str">
        <f>IF($J37=0,"",IF(INDEX('Прайс и заказ'!I:I,$J37)="","",INDEX('Прайс и заказ'!I:I,$J37)))</f>
      </c>
      <c r="G37" s="63" t="str">
        <f>IF($J37=0,"",IF(INDEX('Прайс и заказ'!K:K,$J37)="","",INDEX('Прайс и заказ'!K:K,$J37)))</f>
      </c>
      <c r="H37" s="62" t="str">
        <f>IF($J37=0,"",IF(INDEX('Прайс и заказ'!L:L,$J37)="","",INDEX('Прайс и заказ'!L:L,$J37)))</f>
      </c>
      <c r="I37" s="13" t="str">
        <f>IF($J37=0,"",IF(INDEX('Прайс и заказ'!M:M,$J37)="","",INDEX('Прайс и заказ'!M:M,$J37)))</f>
      </c>
      <c r="J37" t="str">
        <f>IFERROR(MATCH(29,'Прайс и заказ'!$N$7:$N$73,0)+6,0)</f>
      </c>
      <c r="L37" t="str">
        <f>IF($J37=0,"",IF(INDEX('Прайс и заказ'!Q:Q,$J37)="","",INDEX('Прайс и заказ'!Q:Q,$J37)))</f>
      </c>
    </row>
    <row r="38" spans="1:12" customHeight="1" ht="40">
      <c r="A38" s="13" t="str">
        <f>IF($J38=0,"",IFERROR(_xlfn.IMAGE(INDEX('Прайс и заказ'!$O:$O,$J38)),""))</f>
      </c>
      <c r="B38" s="61" t="str">
        <f>IF($J38=0,"",IF(INDEX('Прайс и заказ'!B:B,$J38)="","",INDEX('Прайс и заказ'!B:B,$J38)))</f>
      </c>
      <c r="C38" s="64" t="str">
        <f>IF($J38=0,"",IF(INDEX('Прайс и заказ'!C:C,$J38)="","",INDEX('Прайс и заказ'!C:C,$J38)))</f>
      </c>
      <c r="D38" s="64" t="str">
        <f>IF($J38=0,"",IF(INDEX('Прайс и заказ'!D:D,$J38)="","",INDEX('Прайс и заказ'!D:D,$J38)))</f>
      </c>
      <c r="E38" s="61" t="str">
        <f>IF($J38=0,"",IF(INDEX('Прайс и заказ'!F:F,$J38)="","",INDEX('Прайс и заказ'!F:F,$J38)))</f>
      </c>
      <c r="F38" s="62" t="str">
        <f>IF($J38=0,"",IF(INDEX('Прайс и заказ'!I:I,$J38)="","",INDEX('Прайс и заказ'!I:I,$J38)))</f>
      </c>
      <c r="G38" s="63" t="str">
        <f>IF($J38=0,"",IF(INDEX('Прайс и заказ'!K:K,$J38)="","",INDEX('Прайс и заказ'!K:K,$J38)))</f>
      </c>
      <c r="H38" s="62" t="str">
        <f>IF($J38=0,"",IF(INDEX('Прайс и заказ'!L:L,$J38)="","",INDEX('Прайс и заказ'!L:L,$J38)))</f>
      </c>
      <c r="I38" s="13" t="str">
        <f>IF($J38=0,"",IF(INDEX('Прайс и заказ'!M:M,$J38)="","",INDEX('Прайс и заказ'!M:M,$J38)))</f>
      </c>
      <c r="J38" t="str">
        <f>IFERROR(MATCH(30,'Прайс и заказ'!$N$7:$N$73,0)+6,0)</f>
      </c>
      <c r="L38" t="str">
        <f>IF($J38=0,"",IF(INDEX('Прайс и заказ'!Q:Q,$J38)="","",INDEX('Прайс и заказ'!Q:Q,$J38)))</f>
      </c>
    </row>
    <row r="39" spans="1:12" customHeight="1" ht="40">
      <c r="A39" s="13" t="str">
        <f>IF($J39=0,"",IFERROR(_xlfn.IMAGE(INDEX('Прайс и заказ'!$O:$O,$J39)),""))</f>
      </c>
      <c r="B39" s="61" t="str">
        <f>IF($J39=0,"",IF(INDEX('Прайс и заказ'!B:B,$J39)="","",INDEX('Прайс и заказ'!B:B,$J39)))</f>
      </c>
      <c r="C39" s="64" t="str">
        <f>IF($J39=0,"",IF(INDEX('Прайс и заказ'!C:C,$J39)="","",INDEX('Прайс и заказ'!C:C,$J39)))</f>
      </c>
      <c r="D39" s="64" t="str">
        <f>IF($J39=0,"",IF(INDEX('Прайс и заказ'!D:D,$J39)="","",INDEX('Прайс и заказ'!D:D,$J39)))</f>
      </c>
      <c r="E39" s="61" t="str">
        <f>IF($J39=0,"",IF(INDEX('Прайс и заказ'!F:F,$J39)="","",INDEX('Прайс и заказ'!F:F,$J39)))</f>
      </c>
      <c r="F39" s="62" t="str">
        <f>IF($J39=0,"",IF(INDEX('Прайс и заказ'!I:I,$J39)="","",INDEX('Прайс и заказ'!I:I,$J39)))</f>
      </c>
      <c r="G39" s="63" t="str">
        <f>IF($J39=0,"",IF(INDEX('Прайс и заказ'!K:K,$J39)="","",INDEX('Прайс и заказ'!K:K,$J39)))</f>
      </c>
      <c r="H39" s="62" t="str">
        <f>IF($J39=0,"",IF(INDEX('Прайс и заказ'!L:L,$J39)="","",INDEX('Прайс и заказ'!L:L,$J39)))</f>
      </c>
      <c r="I39" s="13" t="str">
        <f>IF($J39=0,"",IF(INDEX('Прайс и заказ'!M:M,$J39)="","",INDEX('Прайс и заказ'!M:M,$J39)))</f>
      </c>
      <c r="J39" t="str">
        <f>IFERROR(MATCH(31,'Прайс и заказ'!$N$7:$N$73,0)+6,0)</f>
      </c>
      <c r="L39" t="str">
        <f>IF($J39=0,"",IF(INDEX('Прайс и заказ'!Q:Q,$J39)="","",INDEX('Прайс и заказ'!Q:Q,$J39)))</f>
      </c>
    </row>
    <row r="40" spans="1:12" customHeight="1" ht="40">
      <c r="A40" s="13" t="str">
        <f>IF($J40=0,"",IFERROR(_xlfn.IMAGE(INDEX('Прайс и заказ'!$O:$O,$J40)),""))</f>
      </c>
      <c r="B40" s="61" t="str">
        <f>IF($J40=0,"",IF(INDEX('Прайс и заказ'!B:B,$J40)="","",INDEX('Прайс и заказ'!B:B,$J40)))</f>
      </c>
      <c r="C40" s="64" t="str">
        <f>IF($J40=0,"",IF(INDEX('Прайс и заказ'!C:C,$J40)="","",INDEX('Прайс и заказ'!C:C,$J40)))</f>
      </c>
      <c r="D40" s="64" t="str">
        <f>IF($J40=0,"",IF(INDEX('Прайс и заказ'!D:D,$J40)="","",INDEX('Прайс и заказ'!D:D,$J40)))</f>
      </c>
      <c r="E40" s="61" t="str">
        <f>IF($J40=0,"",IF(INDEX('Прайс и заказ'!F:F,$J40)="","",INDEX('Прайс и заказ'!F:F,$J40)))</f>
      </c>
      <c r="F40" s="62" t="str">
        <f>IF($J40=0,"",IF(INDEX('Прайс и заказ'!I:I,$J40)="","",INDEX('Прайс и заказ'!I:I,$J40)))</f>
      </c>
      <c r="G40" s="63" t="str">
        <f>IF($J40=0,"",IF(INDEX('Прайс и заказ'!K:K,$J40)="","",INDEX('Прайс и заказ'!K:K,$J40)))</f>
      </c>
      <c r="H40" s="62" t="str">
        <f>IF($J40=0,"",IF(INDEX('Прайс и заказ'!L:L,$J40)="","",INDEX('Прайс и заказ'!L:L,$J40)))</f>
      </c>
      <c r="I40" s="13" t="str">
        <f>IF($J40=0,"",IF(INDEX('Прайс и заказ'!M:M,$J40)="","",INDEX('Прайс и заказ'!M:M,$J40)))</f>
      </c>
      <c r="J40" t="str">
        <f>IFERROR(MATCH(32,'Прайс и заказ'!$N$7:$N$73,0)+6,0)</f>
      </c>
      <c r="L40" t="str">
        <f>IF($J40=0,"",IF(INDEX('Прайс и заказ'!Q:Q,$J40)="","",INDEX('Прайс и заказ'!Q:Q,$J40)))</f>
      </c>
    </row>
    <row r="41" spans="1:12" customHeight="1" ht="40">
      <c r="A41" s="13" t="str">
        <f>IF($J41=0,"",IFERROR(_xlfn.IMAGE(INDEX('Прайс и заказ'!$O:$O,$J41)),""))</f>
      </c>
      <c r="B41" s="61" t="str">
        <f>IF($J41=0,"",IF(INDEX('Прайс и заказ'!B:B,$J41)="","",INDEX('Прайс и заказ'!B:B,$J41)))</f>
      </c>
      <c r="C41" s="64" t="str">
        <f>IF($J41=0,"",IF(INDEX('Прайс и заказ'!C:C,$J41)="","",INDEX('Прайс и заказ'!C:C,$J41)))</f>
      </c>
      <c r="D41" s="64" t="str">
        <f>IF($J41=0,"",IF(INDEX('Прайс и заказ'!D:D,$J41)="","",INDEX('Прайс и заказ'!D:D,$J41)))</f>
      </c>
      <c r="E41" s="61" t="str">
        <f>IF($J41=0,"",IF(INDEX('Прайс и заказ'!F:F,$J41)="","",INDEX('Прайс и заказ'!F:F,$J41)))</f>
      </c>
      <c r="F41" s="62" t="str">
        <f>IF($J41=0,"",IF(INDEX('Прайс и заказ'!I:I,$J41)="","",INDEX('Прайс и заказ'!I:I,$J41)))</f>
      </c>
      <c r="G41" s="63" t="str">
        <f>IF($J41=0,"",IF(INDEX('Прайс и заказ'!K:K,$J41)="","",INDEX('Прайс и заказ'!K:K,$J41)))</f>
      </c>
      <c r="H41" s="62" t="str">
        <f>IF($J41=0,"",IF(INDEX('Прайс и заказ'!L:L,$J41)="","",INDEX('Прайс и заказ'!L:L,$J41)))</f>
      </c>
      <c r="I41" s="13" t="str">
        <f>IF($J41=0,"",IF(INDEX('Прайс и заказ'!M:M,$J41)="","",INDEX('Прайс и заказ'!M:M,$J41)))</f>
      </c>
      <c r="J41" t="str">
        <f>IFERROR(MATCH(33,'Прайс и заказ'!$N$7:$N$73,0)+6,0)</f>
      </c>
      <c r="L41" t="str">
        <f>IF($J41=0,"",IF(INDEX('Прайс и заказ'!Q:Q,$J41)="","",INDEX('Прайс и заказ'!Q:Q,$J41)))</f>
      </c>
    </row>
    <row r="42" spans="1:12" customHeight="1" ht="40">
      <c r="A42" s="13" t="str">
        <f>IF($J42=0,"",IFERROR(_xlfn.IMAGE(INDEX('Прайс и заказ'!$O:$O,$J42)),""))</f>
      </c>
      <c r="B42" s="61" t="str">
        <f>IF($J42=0,"",IF(INDEX('Прайс и заказ'!B:B,$J42)="","",INDEX('Прайс и заказ'!B:B,$J42)))</f>
      </c>
      <c r="C42" s="64" t="str">
        <f>IF($J42=0,"",IF(INDEX('Прайс и заказ'!C:C,$J42)="","",INDEX('Прайс и заказ'!C:C,$J42)))</f>
      </c>
      <c r="D42" s="64" t="str">
        <f>IF($J42=0,"",IF(INDEX('Прайс и заказ'!D:D,$J42)="","",INDEX('Прайс и заказ'!D:D,$J42)))</f>
      </c>
      <c r="E42" s="61" t="str">
        <f>IF($J42=0,"",IF(INDEX('Прайс и заказ'!F:F,$J42)="","",INDEX('Прайс и заказ'!F:F,$J42)))</f>
      </c>
      <c r="F42" s="62" t="str">
        <f>IF($J42=0,"",IF(INDEX('Прайс и заказ'!I:I,$J42)="","",INDEX('Прайс и заказ'!I:I,$J42)))</f>
      </c>
      <c r="G42" s="63" t="str">
        <f>IF($J42=0,"",IF(INDEX('Прайс и заказ'!K:K,$J42)="","",INDEX('Прайс и заказ'!K:K,$J42)))</f>
      </c>
      <c r="H42" s="62" t="str">
        <f>IF($J42=0,"",IF(INDEX('Прайс и заказ'!L:L,$J42)="","",INDEX('Прайс и заказ'!L:L,$J42)))</f>
      </c>
      <c r="I42" s="13" t="str">
        <f>IF($J42=0,"",IF(INDEX('Прайс и заказ'!M:M,$J42)="","",INDEX('Прайс и заказ'!M:M,$J42)))</f>
      </c>
      <c r="J42" t="str">
        <f>IFERROR(MATCH(34,'Прайс и заказ'!$N$7:$N$73,0)+6,0)</f>
      </c>
      <c r="L42" t="str">
        <f>IF($J42=0,"",IF(INDEX('Прайс и заказ'!Q:Q,$J42)="","",INDEX('Прайс и заказ'!Q:Q,$J42)))</f>
      </c>
    </row>
    <row r="43" spans="1:12" customHeight="1" ht="40">
      <c r="A43" s="13" t="str">
        <f>IF($J43=0,"",IFERROR(_xlfn.IMAGE(INDEX('Прайс и заказ'!$O:$O,$J43)),""))</f>
      </c>
      <c r="B43" s="61" t="str">
        <f>IF($J43=0,"",IF(INDEX('Прайс и заказ'!B:B,$J43)="","",INDEX('Прайс и заказ'!B:B,$J43)))</f>
      </c>
      <c r="C43" s="64" t="str">
        <f>IF($J43=0,"",IF(INDEX('Прайс и заказ'!C:C,$J43)="","",INDEX('Прайс и заказ'!C:C,$J43)))</f>
      </c>
      <c r="D43" s="64" t="str">
        <f>IF($J43=0,"",IF(INDEX('Прайс и заказ'!D:D,$J43)="","",INDEX('Прайс и заказ'!D:D,$J43)))</f>
      </c>
      <c r="E43" s="61" t="str">
        <f>IF($J43=0,"",IF(INDEX('Прайс и заказ'!F:F,$J43)="","",INDEX('Прайс и заказ'!F:F,$J43)))</f>
      </c>
      <c r="F43" s="62" t="str">
        <f>IF($J43=0,"",IF(INDEX('Прайс и заказ'!I:I,$J43)="","",INDEX('Прайс и заказ'!I:I,$J43)))</f>
      </c>
      <c r="G43" s="63" t="str">
        <f>IF($J43=0,"",IF(INDEX('Прайс и заказ'!K:K,$J43)="","",INDEX('Прайс и заказ'!K:K,$J43)))</f>
      </c>
      <c r="H43" s="62" t="str">
        <f>IF($J43=0,"",IF(INDEX('Прайс и заказ'!L:L,$J43)="","",INDEX('Прайс и заказ'!L:L,$J43)))</f>
      </c>
      <c r="I43" s="13" t="str">
        <f>IF($J43=0,"",IF(INDEX('Прайс и заказ'!M:M,$J43)="","",INDEX('Прайс и заказ'!M:M,$J43)))</f>
      </c>
      <c r="J43" t="str">
        <f>IFERROR(MATCH(35,'Прайс и заказ'!$N$7:$N$73,0)+6,0)</f>
      </c>
      <c r="L43" t="str">
        <f>IF($J43=0,"",IF(INDEX('Прайс и заказ'!Q:Q,$J43)="","",INDEX('Прайс и заказ'!Q:Q,$J43)))</f>
      </c>
    </row>
    <row r="44" spans="1:12" customHeight="1" ht="40">
      <c r="A44" s="13" t="str">
        <f>IF($J44=0,"",IFERROR(_xlfn.IMAGE(INDEX('Прайс и заказ'!$O:$O,$J44)),""))</f>
      </c>
      <c r="B44" s="61" t="str">
        <f>IF($J44=0,"",IF(INDEX('Прайс и заказ'!B:B,$J44)="","",INDEX('Прайс и заказ'!B:B,$J44)))</f>
      </c>
      <c r="C44" s="64" t="str">
        <f>IF($J44=0,"",IF(INDEX('Прайс и заказ'!C:C,$J44)="","",INDEX('Прайс и заказ'!C:C,$J44)))</f>
      </c>
      <c r="D44" s="64" t="str">
        <f>IF($J44=0,"",IF(INDEX('Прайс и заказ'!D:D,$J44)="","",INDEX('Прайс и заказ'!D:D,$J44)))</f>
      </c>
      <c r="E44" s="61" t="str">
        <f>IF($J44=0,"",IF(INDEX('Прайс и заказ'!F:F,$J44)="","",INDEX('Прайс и заказ'!F:F,$J44)))</f>
      </c>
      <c r="F44" s="62" t="str">
        <f>IF($J44=0,"",IF(INDEX('Прайс и заказ'!I:I,$J44)="","",INDEX('Прайс и заказ'!I:I,$J44)))</f>
      </c>
      <c r="G44" s="63" t="str">
        <f>IF($J44=0,"",IF(INDEX('Прайс и заказ'!K:K,$J44)="","",INDEX('Прайс и заказ'!K:K,$J44)))</f>
      </c>
      <c r="H44" s="62" t="str">
        <f>IF($J44=0,"",IF(INDEX('Прайс и заказ'!L:L,$J44)="","",INDEX('Прайс и заказ'!L:L,$J44)))</f>
      </c>
      <c r="I44" s="13" t="str">
        <f>IF($J44=0,"",IF(INDEX('Прайс и заказ'!M:M,$J44)="","",INDEX('Прайс и заказ'!M:M,$J44)))</f>
      </c>
      <c r="J44" t="str">
        <f>IFERROR(MATCH(36,'Прайс и заказ'!$N$7:$N$73,0)+6,0)</f>
      </c>
      <c r="L44" t="str">
        <f>IF($J44=0,"",IF(INDEX('Прайс и заказ'!Q:Q,$J44)="","",INDEX('Прайс и заказ'!Q:Q,$J44)))</f>
      </c>
    </row>
    <row r="45" spans="1:12" customHeight="1" ht="40">
      <c r="A45" s="13" t="str">
        <f>IF($J45=0,"",IFERROR(_xlfn.IMAGE(INDEX('Прайс и заказ'!$O:$O,$J45)),""))</f>
      </c>
      <c r="B45" s="61" t="str">
        <f>IF($J45=0,"",IF(INDEX('Прайс и заказ'!B:B,$J45)="","",INDEX('Прайс и заказ'!B:B,$J45)))</f>
      </c>
      <c r="C45" s="64" t="str">
        <f>IF($J45=0,"",IF(INDEX('Прайс и заказ'!C:C,$J45)="","",INDEX('Прайс и заказ'!C:C,$J45)))</f>
      </c>
      <c r="D45" s="64" t="str">
        <f>IF($J45=0,"",IF(INDEX('Прайс и заказ'!D:D,$J45)="","",INDEX('Прайс и заказ'!D:D,$J45)))</f>
      </c>
      <c r="E45" s="61" t="str">
        <f>IF($J45=0,"",IF(INDEX('Прайс и заказ'!F:F,$J45)="","",INDEX('Прайс и заказ'!F:F,$J45)))</f>
      </c>
      <c r="F45" s="62" t="str">
        <f>IF($J45=0,"",IF(INDEX('Прайс и заказ'!I:I,$J45)="","",INDEX('Прайс и заказ'!I:I,$J45)))</f>
      </c>
      <c r="G45" s="63" t="str">
        <f>IF($J45=0,"",IF(INDEX('Прайс и заказ'!K:K,$J45)="","",INDEX('Прайс и заказ'!K:K,$J45)))</f>
      </c>
      <c r="H45" s="62" t="str">
        <f>IF($J45=0,"",IF(INDEX('Прайс и заказ'!L:L,$J45)="","",INDEX('Прайс и заказ'!L:L,$J45)))</f>
      </c>
      <c r="I45" s="13" t="str">
        <f>IF($J45=0,"",IF(INDEX('Прайс и заказ'!M:M,$J45)="","",INDEX('Прайс и заказ'!M:M,$J45)))</f>
      </c>
      <c r="J45" t="str">
        <f>IFERROR(MATCH(37,'Прайс и заказ'!$N$7:$N$73,0)+6,0)</f>
      </c>
      <c r="L45" t="str">
        <f>IF($J45=0,"",IF(INDEX('Прайс и заказ'!Q:Q,$J45)="","",INDEX('Прайс и заказ'!Q:Q,$J45)))</f>
      </c>
    </row>
    <row r="46" spans="1:12" customHeight="1" ht="40">
      <c r="A46" s="13" t="str">
        <f>IF($J46=0,"",IFERROR(_xlfn.IMAGE(INDEX('Прайс и заказ'!$O:$O,$J46)),""))</f>
      </c>
      <c r="B46" s="61" t="str">
        <f>IF($J46=0,"",IF(INDEX('Прайс и заказ'!B:B,$J46)="","",INDEX('Прайс и заказ'!B:B,$J46)))</f>
      </c>
      <c r="C46" s="64" t="str">
        <f>IF($J46=0,"",IF(INDEX('Прайс и заказ'!C:C,$J46)="","",INDEX('Прайс и заказ'!C:C,$J46)))</f>
      </c>
      <c r="D46" s="64" t="str">
        <f>IF($J46=0,"",IF(INDEX('Прайс и заказ'!D:D,$J46)="","",INDEX('Прайс и заказ'!D:D,$J46)))</f>
      </c>
      <c r="E46" s="61" t="str">
        <f>IF($J46=0,"",IF(INDEX('Прайс и заказ'!F:F,$J46)="","",INDEX('Прайс и заказ'!F:F,$J46)))</f>
      </c>
      <c r="F46" s="62" t="str">
        <f>IF($J46=0,"",IF(INDEX('Прайс и заказ'!I:I,$J46)="","",INDEX('Прайс и заказ'!I:I,$J46)))</f>
      </c>
      <c r="G46" s="63" t="str">
        <f>IF($J46=0,"",IF(INDEX('Прайс и заказ'!K:K,$J46)="","",INDEX('Прайс и заказ'!K:K,$J46)))</f>
      </c>
      <c r="H46" s="62" t="str">
        <f>IF($J46=0,"",IF(INDEX('Прайс и заказ'!L:L,$J46)="","",INDEX('Прайс и заказ'!L:L,$J46)))</f>
      </c>
      <c r="I46" s="13" t="str">
        <f>IF($J46=0,"",IF(INDEX('Прайс и заказ'!M:M,$J46)="","",INDEX('Прайс и заказ'!M:M,$J46)))</f>
      </c>
      <c r="J46" t="str">
        <f>IFERROR(MATCH(38,'Прайс и заказ'!$N$7:$N$73,0)+6,0)</f>
      </c>
      <c r="L46" t="str">
        <f>IF($J46=0,"",IF(INDEX('Прайс и заказ'!Q:Q,$J46)="","",INDEX('Прайс и заказ'!Q:Q,$J46)))</f>
      </c>
    </row>
    <row r="47" spans="1:12" customHeight="1" ht="40">
      <c r="A47" s="13" t="str">
        <f>IF($J47=0,"",IFERROR(_xlfn.IMAGE(INDEX('Прайс и заказ'!$O:$O,$J47)),""))</f>
      </c>
      <c r="B47" s="61" t="str">
        <f>IF($J47=0,"",IF(INDEX('Прайс и заказ'!B:B,$J47)="","",INDEX('Прайс и заказ'!B:B,$J47)))</f>
      </c>
      <c r="C47" s="64" t="str">
        <f>IF($J47=0,"",IF(INDEX('Прайс и заказ'!C:C,$J47)="","",INDEX('Прайс и заказ'!C:C,$J47)))</f>
      </c>
      <c r="D47" s="64" t="str">
        <f>IF($J47=0,"",IF(INDEX('Прайс и заказ'!D:D,$J47)="","",INDEX('Прайс и заказ'!D:D,$J47)))</f>
      </c>
      <c r="E47" s="61" t="str">
        <f>IF($J47=0,"",IF(INDEX('Прайс и заказ'!F:F,$J47)="","",INDEX('Прайс и заказ'!F:F,$J47)))</f>
      </c>
      <c r="F47" s="62" t="str">
        <f>IF($J47=0,"",IF(INDEX('Прайс и заказ'!I:I,$J47)="","",INDEX('Прайс и заказ'!I:I,$J47)))</f>
      </c>
      <c r="G47" s="63" t="str">
        <f>IF($J47=0,"",IF(INDEX('Прайс и заказ'!K:K,$J47)="","",INDEX('Прайс и заказ'!K:K,$J47)))</f>
      </c>
      <c r="H47" s="62" t="str">
        <f>IF($J47=0,"",IF(INDEX('Прайс и заказ'!L:L,$J47)="","",INDEX('Прайс и заказ'!L:L,$J47)))</f>
      </c>
      <c r="I47" s="13" t="str">
        <f>IF($J47=0,"",IF(INDEX('Прайс и заказ'!M:M,$J47)="","",INDEX('Прайс и заказ'!M:M,$J47)))</f>
      </c>
      <c r="J47" t="str">
        <f>IFERROR(MATCH(39,'Прайс и заказ'!$N$7:$N$73,0)+6,0)</f>
      </c>
      <c r="L47" t="str">
        <f>IF($J47=0,"",IF(INDEX('Прайс и заказ'!Q:Q,$J47)="","",INDEX('Прайс и заказ'!Q:Q,$J47)))</f>
      </c>
    </row>
    <row r="48" spans="1:12" customHeight="1" ht="40">
      <c r="A48" s="13" t="str">
        <f>IF($J48=0,"",IFERROR(_xlfn.IMAGE(INDEX('Прайс и заказ'!$O:$O,$J48)),""))</f>
      </c>
      <c r="B48" s="61" t="str">
        <f>IF($J48=0,"",IF(INDEX('Прайс и заказ'!B:B,$J48)="","",INDEX('Прайс и заказ'!B:B,$J48)))</f>
      </c>
      <c r="C48" s="64" t="str">
        <f>IF($J48=0,"",IF(INDEX('Прайс и заказ'!C:C,$J48)="","",INDEX('Прайс и заказ'!C:C,$J48)))</f>
      </c>
      <c r="D48" s="64" t="str">
        <f>IF($J48=0,"",IF(INDEX('Прайс и заказ'!D:D,$J48)="","",INDEX('Прайс и заказ'!D:D,$J48)))</f>
      </c>
      <c r="E48" s="61" t="str">
        <f>IF($J48=0,"",IF(INDEX('Прайс и заказ'!F:F,$J48)="","",INDEX('Прайс и заказ'!F:F,$J48)))</f>
      </c>
      <c r="F48" s="62" t="str">
        <f>IF($J48=0,"",IF(INDEX('Прайс и заказ'!I:I,$J48)="","",INDEX('Прайс и заказ'!I:I,$J48)))</f>
      </c>
      <c r="G48" s="63" t="str">
        <f>IF($J48=0,"",IF(INDEX('Прайс и заказ'!K:K,$J48)="","",INDEX('Прайс и заказ'!K:K,$J48)))</f>
      </c>
      <c r="H48" s="62" t="str">
        <f>IF($J48=0,"",IF(INDEX('Прайс и заказ'!L:L,$J48)="","",INDEX('Прайс и заказ'!L:L,$J48)))</f>
      </c>
      <c r="I48" s="13" t="str">
        <f>IF($J48=0,"",IF(INDEX('Прайс и заказ'!M:M,$J48)="","",INDEX('Прайс и заказ'!M:M,$J48)))</f>
      </c>
      <c r="J48" t="str">
        <f>IFERROR(MATCH(40,'Прайс и заказ'!$N$7:$N$73,0)+6,0)</f>
      </c>
      <c r="L48" t="str">
        <f>IF($J48=0,"",IF(INDEX('Прайс и заказ'!Q:Q,$J48)="","",INDEX('Прайс и заказ'!Q:Q,$J48)))</f>
      </c>
    </row>
    <row r="49" spans="1:12" customHeight="1" ht="40">
      <c r="A49" s="13" t="str">
        <f>IF($J49=0,"",IFERROR(_xlfn.IMAGE(INDEX('Прайс и заказ'!$O:$O,$J49)),""))</f>
      </c>
      <c r="B49" s="61" t="str">
        <f>IF($J49=0,"",IF(INDEX('Прайс и заказ'!B:B,$J49)="","",INDEX('Прайс и заказ'!B:B,$J49)))</f>
      </c>
      <c r="C49" s="64" t="str">
        <f>IF($J49=0,"",IF(INDEX('Прайс и заказ'!C:C,$J49)="","",INDEX('Прайс и заказ'!C:C,$J49)))</f>
      </c>
      <c r="D49" s="64" t="str">
        <f>IF($J49=0,"",IF(INDEX('Прайс и заказ'!D:D,$J49)="","",INDEX('Прайс и заказ'!D:D,$J49)))</f>
      </c>
      <c r="E49" s="61" t="str">
        <f>IF($J49=0,"",IF(INDEX('Прайс и заказ'!F:F,$J49)="","",INDEX('Прайс и заказ'!F:F,$J49)))</f>
      </c>
      <c r="F49" s="62" t="str">
        <f>IF($J49=0,"",IF(INDEX('Прайс и заказ'!I:I,$J49)="","",INDEX('Прайс и заказ'!I:I,$J49)))</f>
      </c>
      <c r="G49" s="63" t="str">
        <f>IF($J49=0,"",IF(INDEX('Прайс и заказ'!K:K,$J49)="","",INDEX('Прайс и заказ'!K:K,$J49)))</f>
      </c>
      <c r="H49" s="62" t="str">
        <f>IF($J49=0,"",IF(INDEX('Прайс и заказ'!L:L,$J49)="","",INDEX('Прайс и заказ'!L:L,$J49)))</f>
      </c>
      <c r="I49" s="13" t="str">
        <f>IF($J49=0,"",IF(INDEX('Прайс и заказ'!M:M,$J49)="","",INDEX('Прайс и заказ'!M:M,$J49)))</f>
      </c>
      <c r="J49" t="str">
        <f>IFERROR(MATCH(41,'Прайс и заказ'!$N$7:$N$73,0)+6,0)</f>
      </c>
      <c r="L49" t="str">
        <f>IF($J49=0,"",IF(INDEX('Прайс и заказ'!Q:Q,$J49)="","",INDEX('Прайс и заказ'!Q:Q,$J49)))</f>
      </c>
    </row>
    <row r="50" spans="1:12" customHeight="1" ht="40">
      <c r="A50" s="13" t="str">
        <f>IF($J50=0,"",IFERROR(_xlfn.IMAGE(INDEX('Прайс и заказ'!$O:$O,$J50)),""))</f>
      </c>
      <c r="B50" s="61" t="str">
        <f>IF($J50=0,"",IF(INDEX('Прайс и заказ'!B:B,$J50)="","",INDEX('Прайс и заказ'!B:B,$J50)))</f>
      </c>
      <c r="C50" s="64" t="str">
        <f>IF($J50=0,"",IF(INDEX('Прайс и заказ'!C:C,$J50)="","",INDEX('Прайс и заказ'!C:C,$J50)))</f>
      </c>
      <c r="D50" s="64" t="str">
        <f>IF($J50=0,"",IF(INDEX('Прайс и заказ'!D:D,$J50)="","",INDEX('Прайс и заказ'!D:D,$J50)))</f>
      </c>
      <c r="E50" s="61" t="str">
        <f>IF($J50=0,"",IF(INDEX('Прайс и заказ'!F:F,$J50)="","",INDEX('Прайс и заказ'!F:F,$J50)))</f>
      </c>
      <c r="F50" s="62" t="str">
        <f>IF($J50=0,"",IF(INDEX('Прайс и заказ'!I:I,$J50)="","",INDEX('Прайс и заказ'!I:I,$J50)))</f>
      </c>
      <c r="G50" s="63" t="str">
        <f>IF($J50=0,"",IF(INDEX('Прайс и заказ'!K:K,$J50)="","",INDEX('Прайс и заказ'!K:K,$J50)))</f>
      </c>
      <c r="H50" s="62" t="str">
        <f>IF($J50=0,"",IF(INDEX('Прайс и заказ'!L:L,$J50)="","",INDEX('Прайс и заказ'!L:L,$J50)))</f>
      </c>
      <c r="I50" s="13" t="str">
        <f>IF($J50=0,"",IF(INDEX('Прайс и заказ'!M:M,$J50)="","",INDEX('Прайс и заказ'!M:M,$J50)))</f>
      </c>
      <c r="J50" t="str">
        <f>IFERROR(MATCH(42,'Прайс и заказ'!$N$7:$N$73,0)+6,0)</f>
      </c>
      <c r="L50" t="str">
        <f>IF($J50=0,"",IF(INDEX('Прайс и заказ'!Q:Q,$J50)="","",INDEX('Прайс и заказ'!Q:Q,$J50)))</f>
      </c>
    </row>
    <row r="51" spans="1:12" customHeight="1" ht="40">
      <c r="A51" s="13" t="str">
        <f>IF($J51=0,"",IFERROR(_xlfn.IMAGE(INDEX('Прайс и заказ'!$O:$O,$J51)),""))</f>
      </c>
      <c r="B51" s="61" t="str">
        <f>IF($J51=0,"",IF(INDEX('Прайс и заказ'!B:B,$J51)="","",INDEX('Прайс и заказ'!B:B,$J51)))</f>
      </c>
      <c r="C51" s="64" t="str">
        <f>IF($J51=0,"",IF(INDEX('Прайс и заказ'!C:C,$J51)="","",INDEX('Прайс и заказ'!C:C,$J51)))</f>
      </c>
      <c r="D51" s="64" t="str">
        <f>IF($J51=0,"",IF(INDEX('Прайс и заказ'!D:D,$J51)="","",INDEX('Прайс и заказ'!D:D,$J51)))</f>
      </c>
      <c r="E51" s="61" t="str">
        <f>IF($J51=0,"",IF(INDEX('Прайс и заказ'!F:F,$J51)="","",INDEX('Прайс и заказ'!F:F,$J51)))</f>
      </c>
      <c r="F51" s="62" t="str">
        <f>IF($J51=0,"",IF(INDEX('Прайс и заказ'!I:I,$J51)="","",INDEX('Прайс и заказ'!I:I,$J51)))</f>
      </c>
      <c r="G51" s="63" t="str">
        <f>IF($J51=0,"",IF(INDEX('Прайс и заказ'!K:K,$J51)="","",INDEX('Прайс и заказ'!K:K,$J51)))</f>
      </c>
      <c r="H51" s="62" t="str">
        <f>IF($J51=0,"",IF(INDEX('Прайс и заказ'!L:L,$J51)="","",INDEX('Прайс и заказ'!L:L,$J51)))</f>
      </c>
      <c r="I51" s="13" t="str">
        <f>IF($J51=0,"",IF(INDEX('Прайс и заказ'!M:M,$J51)="","",INDEX('Прайс и заказ'!M:M,$J51)))</f>
      </c>
      <c r="J51" t="str">
        <f>IFERROR(MATCH(43,'Прайс и заказ'!$N$7:$N$73,0)+6,0)</f>
      </c>
      <c r="L51" t="str">
        <f>IF($J51=0,"",IF(INDEX('Прайс и заказ'!Q:Q,$J51)="","",INDEX('Прайс и заказ'!Q:Q,$J51)))</f>
      </c>
    </row>
    <row r="52" spans="1:12" customHeight="1" ht="40">
      <c r="A52" s="13" t="str">
        <f>IF($J52=0,"",IFERROR(_xlfn.IMAGE(INDEX('Прайс и заказ'!$O:$O,$J52)),""))</f>
      </c>
      <c r="B52" s="61" t="str">
        <f>IF($J52=0,"",IF(INDEX('Прайс и заказ'!B:B,$J52)="","",INDEX('Прайс и заказ'!B:B,$J52)))</f>
      </c>
      <c r="C52" s="64" t="str">
        <f>IF($J52=0,"",IF(INDEX('Прайс и заказ'!C:C,$J52)="","",INDEX('Прайс и заказ'!C:C,$J52)))</f>
      </c>
      <c r="D52" s="64" t="str">
        <f>IF($J52=0,"",IF(INDEX('Прайс и заказ'!D:D,$J52)="","",INDEX('Прайс и заказ'!D:D,$J52)))</f>
      </c>
      <c r="E52" s="61" t="str">
        <f>IF($J52=0,"",IF(INDEX('Прайс и заказ'!F:F,$J52)="","",INDEX('Прайс и заказ'!F:F,$J52)))</f>
      </c>
      <c r="F52" s="62" t="str">
        <f>IF($J52=0,"",IF(INDEX('Прайс и заказ'!I:I,$J52)="","",INDEX('Прайс и заказ'!I:I,$J52)))</f>
      </c>
      <c r="G52" s="63" t="str">
        <f>IF($J52=0,"",IF(INDEX('Прайс и заказ'!K:K,$J52)="","",INDEX('Прайс и заказ'!K:K,$J52)))</f>
      </c>
      <c r="H52" s="62" t="str">
        <f>IF($J52=0,"",IF(INDEX('Прайс и заказ'!L:L,$J52)="","",INDEX('Прайс и заказ'!L:L,$J52)))</f>
      </c>
      <c r="I52" s="13" t="str">
        <f>IF($J52=0,"",IF(INDEX('Прайс и заказ'!M:M,$J52)="","",INDEX('Прайс и заказ'!M:M,$J52)))</f>
      </c>
      <c r="J52" t="str">
        <f>IFERROR(MATCH(44,'Прайс и заказ'!$N$7:$N$73,0)+6,0)</f>
      </c>
      <c r="L52" t="str">
        <f>IF($J52=0,"",IF(INDEX('Прайс и заказ'!Q:Q,$J52)="","",INDEX('Прайс и заказ'!Q:Q,$J52)))</f>
      </c>
    </row>
    <row r="53" spans="1:12" customHeight="1" ht="40">
      <c r="A53" s="13" t="str">
        <f>IF($J53=0,"",IFERROR(_xlfn.IMAGE(INDEX('Прайс и заказ'!$O:$O,$J53)),""))</f>
      </c>
      <c r="B53" s="61" t="str">
        <f>IF($J53=0,"",IF(INDEX('Прайс и заказ'!B:B,$J53)="","",INDEX('Прайс и заказ'!B:B,$J53)))</f>
      </c>
      <c r="C53" s="64" t="str">
        <f>IF($J53=0,"",IF(INDEX('Прайс и заказ'!C:C,$J53)="","",INDEX('Прайс и заказ'!C:C,$J53)))</f>
      </c>
      <c r="D53" s="64" t="str">
        <f>IF($J53=0,"",IF(INDEX('Прайс и заказ'!D:D,$J53)="","",INDEX('Прайс и заказ'!D:D,$J53)))</f>
      </c>
      <c r="E53" s="61" t="str">
        <f>IF($J53=0,"",IF(INDEX('Прайс и заказ'!F:F,$J53)="","",INDEX('Прайс и заказ'!F:F,$J53)))</f>
      </c>
      <c r="F53" s="62" t="str">
        <f>IF($J53=0,"",IF(INDEX('Прайс и заказ'!I:I,$J53)="","",INDEX('Прайс и заказ'!I:I,$J53)))</f>
      </c>
      <c r="G53" s="63" t="str">
        <f>IF($J53=0,"",IF(INDEX('Прайс и заказ'!K:K,$J53)="","",INDEX('Прайс и заказ'!K:K,$J53)))</f>
      </c>
      <c r="H53" s="62" t="str">
        <f>IF($J53=0,"",IF(INDEX('Прайс и заказ'!L:L,$J53)="","",INDEX('Прайс и заказ'!L:L,$J53)))</f>
      </c>
      <c r="I53" s="13" t="str">
        <f>IF($J53=0,"",IF(INDEX('Прайс и заказ'!M:M,$J53)="","",INDEX('Прайс и заказ'!M:M,$J53)))</f>
      </c>
      <c r="J53" t="str">
        <f>IFERROR(MATCH(45,'Прайс и заказ'!$N$7:$N$73,0)+6,0)</f>
      </c>
      <c r="L53" t="str">
        <f>IF($J53=0,"",IF(INDEX('Прайс и заказ'!Q:Q,$J53)="","",INDEX('Прайс и заказ'!Q:Q,$J53)))</f>
      </c>
    </row>
    <row r="54" spans="1:12" customHeight="1" ht="40">
      <c r="A54" s="13" t="str">
        <f>IF($J54=0,"",IFERROR(_xlfn.IMAGE(INDEX('Прайс и заказ'!$O:$O,$J54)),""))</f>
      </c>
      <c r="B54" s="61" t="str">
        <f>IF($J54=0,"",IF(INDEX('Прайс и заказ'!B:B,$J54)="","",INDEX('Прайс и заказ'!B:B,$J54)))</f>
      </c>
      <c r="C54" s="64" t="str">
        <f>IF($J54=0,"",IF(INDEX('Прайс и заказ'!C:C,$J54)="","",INDEX('Прайс и заказ'!C:C,$J54)))</f>
      </c>
      <c r="D54" s="64" t="str">
        <f>IF($J54=0,"",IF(INDEX('Прайс и заказ'!D:D,$J54)="","",INDEX('Прайс и заказ'!D:D,$J54)))</f>
      </c>
      <c r="E54" s="61" t="str">
        <f>IF($J54=0,"",IF(INDEX('Прайс и заказ'!F:F,$J54)="","",INDEX('Прайс и заказ'!F:F,$J54)))</f>
      </c>
      <c r="F54" s="62" t="str">
        <f>IF($J54=0,"",IF(INDEX('Прайс и заказ'!I:I,$J54)="","",INDEX('Прайс и заказ'!I:I,$J54)))</f>
      </c>
      <c r="G54" s="63" t="str">
        <f>IF($J54=0,"",IF(INDEX('Прайс и заказ'!K:K,$J54)="","",INDEX('Прайс и заказ'!K:K,$J54)))</f>
      </c>
      <c r="H54" s="62" t="str">
        <f>IF($J54=0,"",IF(INDEX('Прайс и заказ'!L:L,$J54)="","",INDEX('Прайс и заказ'!L:L,$J54)))</f>
      </c>
      <c r="I54" s="13" t="str">
        <f>IF($J54=0,"",IF(INDEX('Прайс и заказ'!M:M,$J54)="","",INDEX('Прайс и заказ'!M:M,$J54)))</f>
      </c>
      <c r="J54" t="str">
        <f>IFERROR(MATCH(46,'Прайс и заказ'!$N$7:$N$73,0)+6,0)</f>
      </c>
      <c r="L54" t="str">
        <f>IF($J54=0,"",IF(INDEX('Прайс и заказ'!Q:Q,$J54)="","",INDEX('Прайс и заказ'!Q:Q,$J54)))</f>
      </c>
    </row>
    <row r="55" spans="1:12" customHeight="1" ht="40">
      <c r="A55" s="13" t="str">
        <f>IF($J55=0,"",IFERROR(_xlfn.IMAGE(INDEX('Прайс и заказ'!$O:$O,$J55)),""))</f>
      </c>
      <c r="B55" s="61" t="str">
        <f>IF($J55=0,"",IF(INDEX('Прайс и заказ'!B:B,$J55)="","",INDEX('Прайс и заказ'!B:B,$J55)))</f>
      </c>
      <c r="C55" s="64" t="str">
        <f>IF($J55=0,"",IF(INDEX('Прайс и заказ'!C:C,$J55)="","",INDEX('Прайс и заказ'!C:C,$J55)))</f>
      </c>
      <c r="D55" s="64" t="str">
        <f>IF($J55=0,"",IF(INDEX('Прайс и заказ'!D:D,$J55)="","",INDEX('Прайс и заказ'!D:D,$J55)))</f>
      </c>
      <c r="E55" s="61" t="str">
        <f>IF($J55=0,"",IF(INDEX('Прайс и заказ'!F:F,$J55)="","",INDEX('Прайс и заказ'!F:F,$J55)))</f>
      </c>
      <c r="F55" s="62" t="str">
        <f>IF($J55=0,"",IF(INDEX('Прайс и заказ'!I:I,$J55)="","",INDEX('Прайс и заказ'!I:I,$J55)))</f>
      </c>
      <c r="G55" s="63" t="str">
        <f>IF($J55=0,"",IF(INDEX('Прайс и заказ'!K:K,$J55)="","",INDEX('Прайс и заказ'!K:K,$J55)))</f>
      </c>
      <c r="H55" s="62" t="str">
        <f>IF($J55=0,"",IF(INDEX('Прайс и заказ'!L:L,$J55)="","",INDEX('Прайс и заказ'!L:L,$J55)))</f>
      </c>
      <c r="I55" s="13" t="str">
        <f>IF($J55=0,"",IF(INDEX('Прайс и заказ'!M:M,$J55)="","",INDEX('Прайс и заказ'!M:M,$J55)))</f>
      </c>
      <c r="J55" t="str">
        <f>IFERROR(MATCH(47,'Прайс и заказ'!$N$7:$N$73,0)+6,0)</f>
      </c>
      <c r="L55" t="str">
        <f>IF($J55=0,"",IF(INDEX('Прайс и заказ'!Q:Q,$J55)="","",INDEX('Прайс и заказ'!Q:Q,$J55)))</f>
      </c>
    </row>
    <row r="56" spans="1:12" customHeight="1" ht="40">
      <c r="A56" s="13" t="str">
        <f>IF($J56=0,"",IFERROR(_xlfn.IMAGE(INDEX('Прайс и заказ'!$O:$O,$J56)),""))</f>
      </c>
      <c r="B56" s="61" t="str">
        <f>IF($J56=0,"",IF(INDEX('Прайс и заказ'!B:B,$J56)="","",INDEX('Прайс и заказ'!B:B,$J56)))</f>
      </c>
      <c r="C56" s="64" t="str">
        <f>IF($J56=0,"",IF(INDEX('Прайс и заказ'!C:C,$J56)="","",INDEX('Прайс и заказ'!C:C,$J56)))</f>
      </c>
      <c r="D56" s="64" t="str">
        <f>IF($J56=0,"",IF(INDEX('Прайс и заказ'!D:D,$J56)="","",INDEX('Прайс и заказ'!D:D,$J56)))</f>
      </c>
      <c r="E56" s="61" t="str">
        <f>IF($J56=0,"",IF(INDEX('Прайс и заказ'!F:F,$J56)="","",INDEX('Прайс и заказ'!F:F,$J56)))</f>
      </c>
      <c r="F56" s="62" t="str">
        <f>IF($J56=0,"",IF(INDEX('Прайс и заказ'!I:I,$J56)="","",INDEX('Прайс и заказ'!I:I,$J56)))</f>
      </c>
      <c r="G56" s="63" t="str">
        <f>IF($J56=0,"",IF(INDEX('Прайс и заказ'!K:K,$J56)="","",INDEX('Прайс и заказ'!K:K,$J56)))</f>
      </c>
      <c r="H56" s="62" t="str">
        <f>IF($J56=0,"",IF(INDEX('Прайс и заказ'!L:L,$J56)="","",INDEX('Прайс и заказ'!L:L,$J56)))</f>
      </c>
      <c r="I56" s="13" t="str">
        <f>IF($J56=0,"",IF(INDEX('Прайс и заказ'!M:M,$J56)="","",INDEX('Прайс и заказ'!M:M,$J56)))</f>
      </c>
      <c r="J56" t="str">
        <f>IFERROR(MATCH(48,'Прайс и заказ'!$N$7:$N$73,0)+6,0)</f>
      </c>
      <c r="L56" t="str">
        <f>IF($J56=0,"",IF(INDEX('Прайс и заказ'!Q:Q,$J56)="","",INDEX('Прайс и заказ'!Q:Q,$J56)))</f>
      </c>
    </row>
    <row r="57" spans="1:12" customHeight="1" ht="40">
      <c r="A57" s="13" t="str">
        <f>IF($J57=0,"",IFERROR(_xlfn.IMAGE(INDEX('Прайс и заказ'!$O:$O,$J57)),""))</f>
      </c>
      <c r="B57" s="61" t="str">
        <f>IF($J57=0,"",IF(INDEX('Прайс и заказ'!B:B,$J57)="","",INDEX('Прайс и заказ'!B:B,$J57)))</f>
      </c>
      <c r="C57" s="64" t="str">
        <f>IF($J57=0,"",IF(INDEX('Прайс и заказ'!C:C,$J57)="","",INDEX('Прайс и заказ'!C:C,$J57)))</f>
      </c>
      <c r="D57" s="64" t="str">
        <f>IF($J57=0,"",IF(INDEX('Прайс и заказ'!D:D,$J57)="","",INDEX('Прайс и заказ'!D:D,$J57)))</f>
      </c>
      <c r="E57" s="61" t="str">
        <f>IF($J57=0,"",IF(INDEX('Прайс и заказ'!F:F,$J57)="","",INDEX('Прайс и заказ'!F:F,$J57)))</f>
      </c>
      <c r="F57" s="62" t="str">
        <f>IF($J57=0,"",IF(INDEX('Прайс и заказ'!I:I,$J57)="","",INDEX('Прайс и заказ'!I:I,$J57)))</f>
      </c>
      <c r="G57" s="63" t="str">
        <f>IF($J57=0,"",IF(INDEX('Прайс и заказ'!K:K,$J57)="","",INDEX('Прайс и заказ'!K:K,$J57)))</f>
      </c>
      <c r="H57" s="62" t="str">
        <f>IF($J57=0,"",IF(INDEX('Прайс и заказ'!L:L,$J57)="","",INDEX('Прайс и заказ'!L:L,$J57)))</f>
      </c>
      <c r="I57" s="13" t="str">
        <f>IF($J57=0,"",IF(INDEX('Прайс и заказ'!M:M,$J57)="","",INDEX('Прайс и заказ'!M:M,$J57)))</f>
      </c>
      <c r="J57" t="str">
        <f>IFERROR(MATCH(49,'Прайс и заказ'!$N$7:$N$73,0)+6,0)</f>
      </c>
      <c r="L57" t="str">
        <f>IF($J57=0,"",IF(INDEX('Прайс и заказ'!Q:Q,$J57)="","",INDEX('Прайс и заказ'!Q:Q,$J57)))</f>
      </c>
    </row>
    <row r="58" spans="1:12" customHeight="1" ht="40">
      <c r="A58" s="13" t="str">
        <f>IF($J58=0,"",IFERROR(_xlfn.IMAGE(INDEX('Прайс и заказ'!$O:$O,$J58)),""))</f>
      </c>
      <c r="B58" s="61" t="str">
        <f>IF($J58=0,"",IF(INDEX('Прайс и заказ'!B:B,$J58)="","",INDEX('Прайс и заказ'!B:B,$J58)))</f>
      </c>
      <c r="C58" s="64" t="str">
        <f>IF($J58=0,"",IF(INDEX('Прайс и заказ'!C:C,$J58)="","",INDEX('Прайс и заказ'!C:C,$J58)))</f>
      </c>
      <c r="D58" s="64" t="str">
        <f>IF($J58=0,"",IF(INDEX('Прайс и заказ'!D:D,$J58)="","",INDEX('Прайс и заказ'!D:D,$J58)))</f>
      </c>
      <c r="E58" s="61" t="str">
        <f>IF($J58=0,"",IF(INDEX('Прайс и заказ'!F:F,$J58)="","",INDEX('Прайс и заказ'!F:F,$J58)))</f>
      </c>
      <c r="F58" s="62" t="str">
        <f>IF($J58=0,"",IF(INDEX('Прайс и заказ'!I:I,$J58)="","",INDEX('Прайс и заказ'!I:I,$J58)))</f>
      </c>
      <c r="G58" s="63" t="str">
        <f>IF($J58=0,"",IF(INDEX('Прайс и заказ'!K:K,$J58)="","",INDEX('Прайс и заказ'!K:K,$J58)))</f>
      </c>
      <c r="H58" s="62" t="str">
        <f>IF($J58=0,"",IF(INDEX('Прайс и заказ'!L:L,$J58)="","",INDEX('Прайс и заказ'!L:L,$J58)))</f>
      </c>
      <c r="I58" s="13" t="str">
        <f>IF($J58=0,"",IF(INDEX('Прайс и заказ'!M:M,$J58)="","",INDEX('Прайс и заказ'!M:M,$J58)))</f>
      </c>
      <c r="J58" t="str">
        <f>IFERROR(MATCH(50,'Прайс и заказ'!$N$7:$N$73,0)+6,0)</f>
      </c>
      <c r="L58" t="str">
        <f>IF($J58=0,"",IF(INDEX('Прайс и заказ'!Q:Q,$J58)="","",INDEX('Прайс и заказ'!Q:Q,$J58)))</f>
      </c>
    </row>
    <row r="59" spans="1:12" customHeight="1" ht="40">
      <c r="A59" s="13" t="str">
        <f>IF($J59=0,"",IFERROR(_xlfn.IMAGE(INDEX('Прайс и заказ'!$O:$O,$J59)),""))</f>
      </c>
      <c r="B59" s="61" t="str">
        <f>IF($J59=0,"",IF(INDEX('Прайс и заказ'!B:B,$J59)="","",INDEX('Прайс и заказ'!B:B,$J59)))</f>
      </c>
      <c r="C59" s="64" t="str">
        <f>IF($J59=0,"",IF(INDEX('Прайс и заказ'!C:C,$J59)="","",INDEX('Прайс и заказ'!C:C,$J59)))</f>
      </c>
      <c r="D59" s="64" t="str">
        <f>IF($J59=0,"",IF(INDEX('Прайс и заказ'!D:D,$J59)="","",INDEX('Прайс и заказ'!D:D,$J59)))</f>
      </c>
      <c r="E59" s="61" t="str">
        <f>IF($J59=0,"",IF(INDEX('Прайс и заказ'!F:F,$J59)="","",INDEX('Прайс и заказ'!F:F,$J59)))</f>
      </c>
      <c r="F59" s="62" t="str">
        <f>IF($J59=0,"",IF(INDEX('Прайс и заказ'!I:I,$J59)="","",INDEX('Прайс и заказ'!I:I,$J59)))</f>
      </c>
      <c r="G59" s="63" t="str">
        <f>IF($J59=0,"",IF(INDEX('Прайс и заказ'!K:K,$J59)="","",INDEX('Прайс и заказ'!K:K,$J59)))</f>
      </c>
      <c r="H59" s="62" t="str">
        <f>IF($J59=0,"",IF(INDEX('Прайс и заказ'!L:L,$J59)="","",INDEX('Прайс и заказ'!L:L,$J59)))</f>
      </c>
      <c r="I59" s="13" t="str">
        <f>IF($J59=0,"",IF(INDEX('Прайс и заказ'!M:M,$J59)="","",INDEX('Прайс и заказ'!M:M,$J59)))</f>
      </c>
      <c r="J59" t="str">
        <f>IFERROR(MATCH(51,'Прайс и заказ'!$N$7:$N$73,0)+6,0)</f>
      </c>
      <c r="L59" t="str">
        <f>IF($J59=0,"",IF(INDEX('Прайс и заказ'!Q:Q,$J59)="","",INDEX('Прайс и заказ'!Q:Q,$J59)))</f>
      </c>
    </row>
    <row r="60" spans="1:12" customHeight="1" ht="40">
      <c r="A60" s="13" t="str">
        <f>IF($J60=0,"",IFERROR(_xlfn.IMAGE(INDEX('Прайс и заказ'!$O:$O,$J60)),""))</f>
      </c>
      <c r="B60" s="61" t="str">
        <f>IF($J60=0,"",IF(INDEX('Прайс и заказ'!B:B,$J60)="","",INDEX('Прайс и заказ'!B:B,$J60)))</f>
      </c>
      <c r="C60" s="64" t="str">
        <f>IF($J60=0,"",IF(INDEX('Прайс и заказ'!C:C,$J60)="","",INDEX('Прайс и заказ'!C:C,$J60)))</f>
      </c>
      <c r="D60" s="64" t="str">
        <f>IF($J60=0,"",IF(INDEX('Прайс и заказ'!D:D,$J60)="","",INDEX('Прайс и заказ'!D:D,$J60)))</f>
      </c>
      <c r="E60" s="61" t="str">
        <f>IF($J60=0,"",IF(INDEX('Прайс и заказ'!F:F,$J60)="","",INDEX('Прайс и заказ'!F:F,$J60)))</f>
      </c>
      <c r="F60" s="62" t="str">
        <f>IF($J60=0,"",IF(INDEX('Прайс и заказ'!I:I,$J60)="","",INDEX('Прайс и заказ'!I:I,$J60)))</f>
      </c>
      <c r="G60" s="63" t="str">
        <f>IF($J60=0,"",IF(INDEX('Прайс и заказ'!K:K,$J60)="","",INDEX('Прайс и заказ'!K:K,$J60)))</f>
      </c>
      <c r="H60" s="62" t="str">
        <f>IF($J60=0,"",IF(INDEX('Прайс и заказ'!L:L,$J60)="","",INDEX('Прайс и заказ'!L:L,$J60)))</f>
      </c>
      <c r="I60" s="13" t="str">
        <f>IF($J60=0,"",IF(INDEX('Прайс и заказ'!M:M,$J60)="","",INDEX('Прайс и заказ'!M:M,$J60)))</f>
      </c>
      <c r="J60" t="str">
        <f>IFERROR(MATCH(52,'Прайс и заказ'!$N$7:$N$73,0)+6,0)</f>
      </c>
      <c r="L60" t="str">
        <f>IF($J60=0,"",IF(INDEX('Прайс и заказ'!Q:Q,$J60)="","",INDEX('Прайс и заказ'!Q:Q,$J60)))</f>
      </c>
    </row>
    <row r="61" spans="1:12" customHeight="1" ht="40">
      <c r="A61" s="13" t="str">
        <f>IF($J61=0,"",IFERROR(_xlfn.IMAGE(INDEX('Прайс и заказ'!$O:$O,$J61)),""))</f>
      </c>
      <c r="B61" s="61" t="str">
        <f>IF($J61=0,"",IF(INDEX('Прайс и заказ'!B:B,$J61)="","",INDEX('Прайс и заказ'!B:B,$J61)))</f>
      </c>
      <c r="C61" s="64" t="str">
        <f>IF($J61=0,"",IF(INDEX('Прайс и заказ'!C:C,$J61)="","",INDEX('Прайс и заказ'!C:C,$J61)))</f>
      </c>
      <c r="D61" s="64" t="str">
        <f>IF($J61=0,"",IF(INDEX('Прайс и заказ'!D:D,$J61)="","",INDEX('Прайс и заказ'!D:D,$J61)))</f>
      </c>
      <c r="E61" s="61" t="str">
        <f>IF($J61=0,"",IF(INDEX('Прайс и заказ'!F:F,$J61)="","",INDEX('Прайс и заказ'!F:F,$J61)))</f>
      </c>
      <c r="F61" s="62" t="str">
        <f>IF($J61=0,"",IF(INDEX('Прайс и заказ'!I:I,$J61)="","",INDEX('Прайс и заказ'!I:I,$J61)))</f>
      </c>
      <c r="G61" s="63" t="str">
        <f>IF($J61=0,"",IF(INDEX('Прайс и заказ'!K:K,$J61)="","",INDEX('Прайс и заказ'!K:K,$J61)))</f>
      </c>
      <c r="H61" s="62" t="str">
        <f>IF($J61=0,"",IF(INDEX('Прайс и заказ'!L:L,$J61)="","",INDEX('Прайс и заказ'!L:L,$J61)))</f>
      </c>
      <c r="I61" s="13" t="str">
        <f>IF($J61=0,"",IF(INDEX('Прайс и заказ'!M:M,$J61)="","",INDEX('Прайс и заказ'!M:M,$J61)))</f>
      </c>
      <c r="J61" t="str">
        <f>IFERROR(MATCH(53,'Прайс и заказ'!$N$7:$N$73,0)+6,0)</f>
      </c>
      <c r="L61" t="str">
        <f>IF($J61=0,"",IF(INDEX('Прайс и заказ'!Q:Q,$J61)="","",INDEX('Прайс и заказ'!Q:Q,$J61)))</f>
      </c>
    </row>
    <row r="62" spans="1:12" customHeight="1" ht="40">
      <c r="A62" s="13" t="str">
        <f>IF($J62=0,"",IFERROR(_xlfn.IMAGE(INDEX('Прайс и заказ'!$O:$O,$J62)),""))</f>
      </c>
      <c r="B62" s="61" t="str">
        <f>IF($J62=0,"",IF(INDEX('Прайс и заказ'!B:B,$J62)="","",INDEX('Прайс и заказ'!B:B,$J62)))</f>
      </c>
      <c r="C62" s="64" t="str">
        <f>IF($J62=0,"",IF(INDEX('Прайс и заказ'!C:C,$J62)="","",INDEX('Прайс и заказ'!C:C,$J62)))</f>
      </c>
      <c r="D62" s="64" t="str">
        <f>IF($J62=0,"",IF(INDEX('Прайс и заказ'!D:D,$J62)="","",INDEX('Прайс и заказ'!D:D,$J62)))</f>
      </c>
      <c r="E62" s="61" t="str">
        <f>IF($J62=0,"",IF(INDEX('Прайс и заказ'!F:F,$J62)="","",INDEX('Прайс и заказ'!F:F,$J62)))</f>
      </c>
      <c r="F62" s="62" t="str">
        <f>IF($J62=0,"",IF(INDEX('Прайс и заказ'!I:I,$J62)="","",INDEX('Прайс и заказ'!I:I,$J62)))</f>
      </c>
      <c r="G62" s="63" t="str">
        <f>IF($J62=0,"",IF(INDEX('Прайс и заказ'!K:K,$J62)="","",INDEX('Прайс и заказ'!K:K,$J62)))</f>
      </c>
      <c r="H62" s="62" t="str">
        <f>IF($J62=0,"",IF(INDEX('Прайс и заказ'!L:L,$J62)="","",INDEX('Прайс и заказ'!L:L,$J62)))</f>
      </c>
      <c r="I62" s="13" t="str">
        <f>IF($J62=0,"",IF(INDEX('Прайс и заказ'!M:M,$J62)="","",INDEX('Прайс и заказ'!M:M,$J62)))</f>
      </c>
      <c r="J62" t="str">
        <f>IFERROR(MATCH(54,'Прайс и заказ'!$N$7:$N$73,0)+6,0)</f>
      </c>
      <c r="L62" t="str">
        <f>IF($J62=0,"",IF(INDEX('Прайс и заказ'!Q:Q,$J62)="","",INDEX('Прайс и заказ'!Q:Q,$J62)))</f>
      </c>
    </row>
    <row r="63" spans="1:12" customHeight="1" ht="40">
      <c r="A63" s="13" t="str">
        <f>IF($J63=0,"",IFERROR(_xlfn.IMAGE(INDEX('Прайс и заказ'!$O:$O,$J63)),""))</f>
      </c>
      <c r="B63" s="61" t="str">
        <f>IF($J63=0,"",IF(INDEX('Прайс и заказ'!B:B,$J63)="","",INDEX('Прайс и заказ'!B:B,$J63)))</f>
      </c>
      <c r="C63" s="64" t="str">
        <f>IF($J63=0,"",IF(INDEX('Прайс и заказ'!C:C,$J63)="","",INDEX('Прайс и заказ'!C:C,$J63)))</f>
      </c>
      <c r="D63" s="64" t="str">
        <f>IF($J63=0,"",IF(INDEX('Прайс и заказ'!D:D,$J63)="","",INDEX('Прайс и заказ'!D:D,$J63)))</f>
      </c>
      <c r="E63" s="61" t="str">
        <f>IF($J63=0,"",IF(INDEX('Прайс и заказ'!F:F,$J63)="","",INDEX('Прайс и заказ'!F:F,$J63)))</f>
      </c>
      <c r="F63" s="62" t="str">
        <f>IF($J63=0,"",IF(INDEX('Прайс и заказ'!I:I,$J63)="","",INDEX('Прайс и заказ'!I:I,$J63)))</f>
      </c>
      <c r="G63" s="63" t="str">
        <f>IF($J63=0,"",IF(INDEX('Прайс и заказ'!K:K,$J63)="","",INDEX('Прайс и заказ'!K:K,$J63)))</f>
      </c>
      <c r="H63" s="62" t="str">
        <f>IF($J63=0,"",IF(INDEX('Прайс и заказ'!L:L,$J63)="","",INDEX('Прайс и заказ'!L:L,$J63)))</f>
      </c>
      <c r="I63" s="13" t="str">
        <f>IF($J63=0,"",IF(INDEX('Прайс и заказ'!M:M,$J63)="","",INDEX('Прайс и заказ'!M:M,$J63)))</f>
      </c>
      <c r="J63" t="str">
        <f>IFERROR(MATCH(55,'Прайс и заказ'!$N$7:$N$73,0)+6,0)</f>
      </c>
      <c r="L63" t="str">
        <f>IF($J63=0,"",IF(INDEX('Прайс и заказ'!Q:Q,$J63)="","",INDEX('Прайс и заказ'!Q:Q,$J63)))</f>
      </c>
    </row>
    <row r="64" spans="1:12" customHeight="1" ht="40">
      <c r="A64" s="13" t="str">
        <f>IF($J64=0,"",IFERROR(_xlfn.IMAGE(INDEX('Прайс и заказ'!$O:$O,$J64)),""))</f>
      </c>
      <c r="B64" s="61" t="str">
        <f>IF($J64=0,"",IF(INDEX('Прайс и заказ'!B:B,$J64)="","",INDEX('Прайс и заказ'!B:B,$J64)))</f>
      </c>
      <c r="C64" s="64" t="str">
        <f>IF($J64=0,"",IF(INDEX('Прайс и заказ'!C:C,$J64)="","",INDEX('Прайс и заказ'!C:C,$J64)))</f>
      </c>
      <c r="D64" s="64" t="str">
        <f>IF($J64=0,"",IF(INDEX('Прайс и заказ'!D:D,$J64)="","",INDEX('Прайс и заказ'!D:D,$J64)))</f>
      </c>
      <c r="E64" s="61" t="str">
        <f>IF($J64=0,"",IF(INDEX('Прайс и заказ'!F:F,$J64)="","",INDEX('Прайс и заказ'!F:F,$J64)))</f>
      </c>
      <c r="F64" s="62" t="str">
        <f>IF($J64=0,"",IF(INDEX('Прайс и заказ'!I:I,$J64)="","",INDEX('Прайс и заказ'!I:I,$J64)))</f>
      </c>
      <c r="G64" s="63" t="str">
        <f>IF($J64=0,"",IF(INDEX('Прайс и заказ'!K:K,$J64)="","",INDEX('Прайс и заказ'!K:K,$J64)))</f>
      </c>
      <c r="H64" s="62" t="str">
        <f>IF($J64=0,"",IF(INDEX('Прайс и заказ'!L:L,$J64)="","",INDEX('Прайс и заказ'!L:L,$J64)))</f>
      </c>
      <c r="I64" s="13" t="str">
        <f>IF($J64=0,"",IF(INDEX('Прайс и заказ'!M:M,$J64)="","",INDEX('Прайс и заказ'!M:M,$J64)))</f>
      </c>
      <c r="J64" t="str">
        <f>IFERROR(MATCH(56,'Прайс и заказ'!$N$7:$N$73,0)+6,0)</f>
      </c>
      <c r="L64" t="str">
        <f>IF($J64=0,"",IF(INDEX('Прайс и заказ'!Q:Q,$J64)="","",INDEX('Прайс и заказ'!Q:Q,$J64)))</f>
      </c>
    </row>
    <row r="65" spans="1:12" customHeight="1" ht="40">
      <c r="A65" s="13" t="str">
        <f>IF($J65=0,"",IFERROR(_xlfn.IMAGE(INDEX('Прайс и заказ'!$O:$O,$J65)),""))</f>
      </c>
      <c r="B65" s="61" t="str">
        <f>IF($J65=0,"",IF(INDEX('Прайс и заказ'!B:B,$J65)="","",INDEX('Прайс и заказ'!B:B,$J65)))</f>
      </c>
      <c r="C65" s="64" t="str">
        <f>IF($J65=0,"",IF(INDEX('Прайс и заказ'!C:C,$J65)="","",INDEX('Прайс и заказ'!C:C,$J65)))</f>
      </c>
      <c r="D65" s="64" t="str">
        <f>IF($J65=0,"",IF(INDEX('Прайс и заказ'!D:D,$J65)="","",INDEX('Прайс и заказ'!D:D,$J65)))</f>
      </c>
      <c r="E65" s="61" t="str">
        <f>IF($J65=0,"",IF(INDEX('Прайс и заказ'!F:F,$J65)="","",INDEX('Прайс и заказ'!F:F,$J65)))</f>
      </c>
      <c r="F65" s="62" t="str">
        <f>IF($J65=0,"",IF(INDEX('Прайс и заказ'!I:I,$J65)="","",INDEX('Прайс и заказ'!I:I,$J65)))</f>
      </c>
      <c r="G65" s="63" t="str">
        <f>IF($J65=0,"",IF(INDEX('Прайс и заказ'!K:K,$J65)="","",INDEX('Прайс и заказ'!K:K,$J65)))</f>
      </c>
      <c r="H65" s="62" t="str">
        <f>IF($J65=0,"",IF(INDEX('Прайс и заказ'!L:L,$J65)="","",INDEX('Прайс и заказ'!L:L,$J65)))</f>
      </c>
      <c r="I65" s="13" t="str">
        <f>IF($J65=0,"",IF(INDEX('Прайс и заказ'!M:M,$J65)="","",INDEX('Прайс и заказ'!M:M,$J65)))</f>
      </c>
      <c r="J65" t="str">
        <f>IFERROR(MATCH(57,'Прайс и заказ'!$N$7:$N$73,0)+6,0)</f>
      </c>
      <c r="L65" t="str">
        <f>IF($J65=0,"",IF(INDEX('Прайс и заказ'!Q:Q,$J65)="","",INDEX('Прайс и заказ'!Q:Q,$J65)))</f>
      </c>
    </row>
    <row r="66" spans="1:12" customHeight="1" ht="40">
      <c r="A66" s="13" t="str">
        <f>IF($J66=0,"",IFERROR(_xlfn.IMAGE(INDEX('Прайс и заказ'!$O:$O,$J66)),""))</f>
      </c>
      <c r="B66" s="61" t="str">
        <f>IF($J66=0,"",IF(INDEX('Прайс и заказ'!B:B,$J66)="","",INDEX('Прайс и заказ'!B:B,$J66)))</f>
      </c>
      <c r="C66" s="64" t="str">
        <f>IF($J66=0,"",IF(INDEX('Прайс и заказ'!C:C,$J66)="","",INDEX('Прайс и заказ'!C:C,$J66)))</f>
      </c>
      <c r="D66" s="64" t="str">
        <f>IF($J66=0,"",IF(INDEX('Прайс и заказ'!D:D,$J66)="","",INDEX('Прайс и заказ'!D:D,$J66)))</f>
      </c>
      <c r="E66" s="61" t="str">
        <f>IF($J66=0,"",IF(INDEX('Прайс и заказ'!F:F,$J66)="","",INDEX('Прайс и заказ'!F:F,$J66)))</f>
      </c>
      <c r="F66" s="62" t="str">
        <f>IF($J66=0,"",IF(INDEX('Прайс и заказ'!I:I,$J66)="","",INDEX('Прайс и заказ'!I:I,$J66)))</f>
      </c>
      <c r="G66" s="63" t="str">
        <f>IF($J66=0,"",IF(INDEX('Прайс и заказ'!K:K,$J66)="","",INDEX('Прайс и заказ'!K:K,$J66)))</f>
      </c>
      <c r="H66" s="62" t="str">
        <f>IF($J66=0,"",IF(INDEX('Прайс и заказ'!L:L,$J66)="","",INDEX('Прайс и заказ'!L:L,$J66)))</f>
      </c>
      <c r="I66" s="13" t="str">
        <f>IF($J66=0,"",IF(INDEX('Прайс и заказ'!M:M,$J66)="","",INDEX('Прайс и заказ'!M:M,$J66)))</f>
      </c>
      <c r="J66" t="str">
        <f>IFERROR(MATCH(58,'Прайс и заказ'!$N$7:$N$73,0)+6,0)</f>
      </c>
      <c r="L66" t="str">
        <f>IF($J66=0,"",IF(INDEX('Прайс и заказ'!Q:Q,$J66)="","",INDEX('Прайс и заказ'!Q:Q,$J66)))</f>
      </c>
    </row>
    <row r="67" spans="1:12" customHeight="1" ht="40">
      <c r="A67" s="13" t="str">
        <f>IF($J67=0,"",IFERROR(_xlfn.IMAGE(INDEX('Прайс и заказ'!$O:$O,$J67)),""))</f>
      </c>
      <c r="B67" s="61" t="str">
        <f>IF($J67=0,"",IF(INDEX('Прайс и заказ'!B:B,$J67)="","",INDEX('Прайс и заказ'!B:B,$J67)))</f>
      </c>
      <c r="C67" s="64" t="str">
        <f>IF($J67=0,"",IF(INDEX('Прайс и заказ'!C:C,$J67)="","",INDEX('Прайс и заказ'!C:C,$J67)))</f>
      </c>
      <c r="D67" s="64" t="str">
        <f>IF($J67=0,"",IF(INDEX('Прайс и заказ'!D:D,$J67)="","",INDEX('Прайс и заказ'!D:D,$J67)))</f>
      </c>
      <c r="E67" s="61" t="str">
        <f>IF($J67=0,"",IF(INDEX('Прайс и заказ'!F:F,$J67)="","",INDEX('Прайс и заказ'!F:F,$J67)))</f>
      </c>
      <c r="F67" s="62" t="str">
        <f>IF($J67=0,"",IF(INDEX('Прайс и заказ'!I:I,$J67)="","",INDEX('Прайс и заказ'!I:I,$J67)))</f>
      </c>
      <c r="G67" s="63" t="str">
        <f>IF($J67=0,"",IF(INDEX('Прайс и заказ'!K:K,$J67)="","",INDEX('Прайс и заказ'!K:K,$J67)))</f>
      </c>
      <c r="H67" s="62" t="str">
        <f>IF($J67=0,"",IF(INDEX('Прайс и заказ'!L:L,$J67)="","",INDEX('Прайс и заказ'!L:L,$J67)))</f>
      </c>
      <c r="I67" s="13" t="str">
        <f>IF($J67=0,"",IF(INDEX('Прайс и заказ'!M:M,$J67)="","",INDEX('Прайс и заказ'!M:M,$J67)))</f>
      </c>
      <c r="J67" t="str">
        <f>IFERROR(MATCH(59,'Прайс и заказ'!$N$7:$N$73,0)+6,0)</f>
      </c>
      <c r="L67" t="str">
        <f>IF($J67=0,"",IF(INDEX('Прайс и заказ'!Q:Q,$J67)="","",INDEX('Прайс и заказ'!Q:Q,$J67)))</f>
      </c>
    </row>
    <row r="68" spans="1:12" customHeight="1" ht="40">
      <c r="A68" s="13" t="str">
        <f>IF($J68=0,"",IFERROR(_xlfn.IMAGE(INDEX('Прайс и заказ'!$O:$O,$J68)),""))</f>
      </c>
      <c r="B68" s="61" t="str">
        <f>IF($J68=0,"",IF(INDEX('Прайс и заказ'!B:B,$J68)="","",INDEX('Прайс и заказ'!B:B,$J68)))</f>
      </c>
      <c r="C68" s="64" t="str">
        <f>IF($J68=0,"",IF(INDEX('Прайс и заказ'!C:C,$J68)="","",INDEX('Прайс и заказ'!C:C,$J68)))</f>
      </c>
      <c r="D68" s="64" t="str">
        <f>IF($J68=0,"",IF(INDEX('Прайс и заказ'!D:D,$J68)="","",INDEX('Прайс и заказ'!D:D,$J68)))</f>
      </c>
      <c r="E68" s="61" t="str">
        <f>IF($J68=0,"",IF(INDEX('Прайс и заказ'!F:F,$J68)="","",INDEX('Прайс и заказ'!F:F,$J68)))</f>
      </c>
      <c r="F68" s="62" t="str">
        <f>IF($J68=0,"",IF(INDEX('Прайс и заказ'!I:I,$J68)="","",INDEX('Прайс и заказ'!I:I,$J68)))</f>
      </c>
      <c r="G68" s="63" t="str">
        <f>IF($J68=0,"",IF(INDEX('Прайс и заказ'!K:K,$J68)="","",INDEX('Прайс и заказ'!K:K,$J68)))</f>
      </c>
      <c r="H68" s="62" t="str">
        <f>IF($J68=0,"",IF(INDEX('Прайс и заказ'!L:L,$J68)="","",INDEX('Прайс и заказ'!L:L,$J68)))</f>
      </c>
      <c r="I68" s="13" t="str">
        <f>IF($J68=0,"",IF(INDEX('Прайс и заказ'!M:M,$J68)="","",INDEX('Прайс и заказ'!M:M,$J68)))</f>
      </c>
      <c r="J68" t="str">
        <f>IFERROR(MATCH(60,'Прайс и заказ'!$N$7:$N$73,0)+6,0)</f>
      </c>
      <c r="L68" t="str">
        <f>IF($J68=0,"",IF(INDEX('Прайс и заказ'!Q:Q,$J68)="","",INDEX('Прайс и заказ'!Q:Q,$J68)))</f>
      </c>
    </row>
    <row r="69" spans="1:12" customHeight="1" ht="40">
      <c r="A69" s="13" t="str">
        <f>IF($J69=0,"",IFERROR(_xlfn.IMAGE(INDEX('Прайс и заказ'!$O:$O,$J69)),""))</f>
      </c>
      <c r="B69" s="61" t="str">
        <f>IF($J69=0,"",IF(INDEX('Прайс и заказ'!B:B,$J69)="","",INDEX('Прайс и заказ'!B:B,$J69)))</f>
      </c>
      <c r="C69" s="64" t="str">
        <f>IF($J69=0,"",IF(INDEX('Прайс и заказ'!C:C,$J69)="","",INDEX('Прайс и заказ'!C:C,$J69)))</f>
      </c>
      <c r="D69" s="64" t="str">
        <f>IF($J69=0,"",IF(INDEX('Прайс и заказ'!D:D,$J69)="","",INDEX('Прайс и заказ'!D:D,$J69)))</f>
      </c>
      <c r="E69" s="61" t="str">
        <f>IF($J69=0,"",IF(INDEX('Прайс и заказ'!F:F,$J69)="","",INDEX('Прайс и заказ'!F:F,$J69)))</f>
      </c>
      <c r="F69" s="62" t="str">
        <f>IF($J69=0,"",IF(INDEX('Прайс и заказ'!I:I,$J69)="","",INDEX('Прайс и заказ'!I:I,$J69)))</f>
      </c>
      <c r="G69" s="63" t="str">
        <f>IF($J69=0,"",IF(INDEX('Прайс и заказ'!K:K,$J69)="","",INDEX('Прайс и заказ'!K:K,$J69)))</f>
      </c>
      <c r="H69" s="62" t="str">
        <f>IF($J69=0,"",IF(INDEX('Прайс и заказ'!L:L,$J69)="","",INDEX('Прайс и заказ'!L:L,$J69)))</f>
      </c>
      <c r="I69" s="13" t="str">
        <f>IF($J69=0,"",IF(INDEX('Прайс и заказ'!M:M,$J69)="","",INDEX('Прайс и заказ'!M:M,$J69)))</f>
      </c>
      <c r="J69" t="str">
        <f>IFERROR(MATCH(61,'Прайс и заказ'!$N$7:$N$73,0)+6,0)</f>
      </c>
      <c r="L69" t="str">
        <f>IF($J69=0,"",IF(INDEX('Прайс и заказ'!Q:Q,$J69)="","",INDEX('Прайс и заказ'!Q:Q,$J69)))</f>
      </c>
    </row>
    <row r="70" spans="1:12" customHeight="1" ht="40">
      <c r="A70" s="13" t="str">
        <f>IF($J70=0,"",IFERROR(_xlfn.IMAGE(INDEX('Прайс и заказ'!$O:$O,$J70)),""))</f>
      </c>
      <c r="B70" s="61" t="str">
        <f>IF($J70=0,"",IF(INDEX('Прайс и заказ'!B:B,$J70)="","",INDEX('Прайс и заказ'!B:B,$J70)))</f>
      </c>
      <c r="C70" s="64" t="str">
        <f>IF($J70=0,"",IF(INDEX('Прайс и заказ'!C:C,$J70)="","",INDEX('Прайс и заказ'!C:C,$J70)))</f>
      </c>
      <c r="D70" s="64" t="str">
        <f>IF($J70=0,"",IF(INDEX('Прайс и заказ'!D:D,$J70)="","",INDEX('Прайс и заказ'!D:D,$J70)))</f>
      </c>
      <c r="E70" s="61" t="str">
        <f>IF($J70=0,"",IF(INDEX('Прайс и заказ'!F:F,$J70)="","",INDEX('Прайс и заказ'!F:F,$J70)))</f>
      </c>
      <c r="F70" s="62" t="str">
        <f>IF($J70=0,"",IF(INDEX('Прайс и заказ'!I:I,$J70)="","",INDEX('Прайс и заказ'!I:I,$J70)))</f>
      </c>
      <c r="G70" s="63" t="str">
        <f>IF($J70=0,"",IF(INDEX('Прайс и заказ'!K:K,$J70)="","",INDEX('Прайс и заказ'!K:K,$J70)))</f>
      </c>
      <c r="H70" s="62" t="str">
        <f>IF($J70=0,"",IF(INDEX('Прайс и заказ'!L:L,$J70)="","",INDEX('Прайс и заказ'!L:L,$J70)))</f>
      </c>
      <c r="I70" s="13" t="str">
        <f>IF($J70=0,"",IF(INDEX('Прайс и заказ'!M:M,$J70)="","",INDEX('Прайс и заказ'!M:M,$J70)))</f>
      </c>
      <c r="J70" t="str">
        <f>IFERROR(MATCH(62,'Прайс и заказ'!$N$7:$N$73,0)+6,0)</f>
      </c>
      <c r="L70" t="str">
        <f>IF($J70=0,"",IF(INDEX('Прайс и заказ'!Q:Q,$J70)="","",INDEX('Прайс и заказ'!Q:Q,$J70)))</f>
      </c>
    </row>
    <row r="71" spans="1:12" customHeight="1" ht="40">
      <c r="A71" s="13" t="str">
        <f>IF($J71=0,"",IFERROR(_xlfn.IMAGE(INDEX('Прайс и заказ'!$O:$O,$J71)),""))</f>
      </c>
      <c r="B71" s="61" t="str">
        <f>IF($J71=0,"",IF(INDEX('Прайс и заказ'!B:B,$J71)="","",INDEX('Прайс и заказ'!B:B,$J71)))</f>
      </c>
      <c r="C71" s="64" t="str">
        <f>IF($J71=0,"",IF(INDEX('Прайс и заказ'!C:C,$J71)="","",INDEX('Прайс и заказ'!C:C,$J71)))</f>
      </c>
      <c r="D71" s="64" t="str">
        <f>IF($J71=0,"",IF(INDEX('Прайс и заказ'!D:D,$J71)="","",INDEX('Прайс и заказ'!D:D,$J71)))</f>
      </c>
      <c r="E71" s="61" t="str">
        <f>IF($J71=0,"",IF(INDEX('Прайс и заказ'!F:F,$J71)="","",INDEX('Прайс и заказ'!F:F,$J71)))</f>
      </c>
      <c r="F71" s="62" t="str">
        <f>IF($J71=0,"",IF(INDEX('Прайс и заказ'!I:I,$J71)="","",INDEX('Прайс и заказ'!I:I,$J71)))</f>
      </c>
      <c r="G71" s="63" t="str">
        <f>IF($J71=0,"",IF(INDEX('Прайс и заказ'!K:K,$J71)="","",INDEX('Прайс и заказ'!K:K,$J71)))</f>
      </c>
      <c r="H71" s="62" t="str">
        <f>IF($J71=0,"",IF(INDEX('Прайс и заказ'!L:L,$J71)="","",INDEX('Прайс и заказ'!L:L,$J71)))</f>
      </c>
      <c r="I71" s="13" t="str">
        <f>IF($J71=0,"",IF(INDEX('Прайс и заказ'!M:M,$J71)="","",INDEX('Прайс и заказ'!M:M,$J71)))</f>
      </c>
      <c r="J71" t="str">
        <f>IFERROR(MATCH(63,'Прайс и заказ'!$N$7:$N$73,0)+6,0)</f>
      </c>
      <c r="L71" t="str">
        <f>IF($J71=0,"",IF(INDEX('Прайс и заказ'!Q:Q,$J71)="","",INDEX('Прайс и заказ'!Q:Q,$J71)))</f>
      </c>
    </row>
    <row r="72" spans="1:12" customHeight="1" ht="40">
      <c r="A72" s="13" t="str">
        <f>IF($J72=0,"",IFERROR(_xlfn.IMAGE(INDEX('Прайс и заказ'!$O:$O,$J72)),""))</f>
      </c>
      <c r="B72" s="61" t="str">
        <f>IF($J72=0,"",IF(INDEX('Прайс и заказ'!B:B,$J72)="","",INDEX('Прайс и заказ'!B:B,$J72)))</f>
      </c>
      <c r="C72" s="64" t="str">
        <f>IF($J72=0,"",IF(INDEX('Прайс и заказ'!C:C,$J72)="","",INDEX('Прайс и заказ'!C:C,$J72)))</f>
      </c>
      <c r="D72" s="64" t="str">
        <f>IF($J72=0,"",IF(INDEX('Прайс и заказ'!D:D,$J72)="","",INDEX('Прайс и заказ'!D:D,$J72)))</f>
      </c>
      <c r="E72" s="61" t="str">
        <f>IF($J72=0,"",IF(INDEX('Прайс и заказ'!F:F,$J72)="","",INDEX('Прайс и заказ'!F:F,$J72)))</f>
      </c>
      <c r="F72" s="62" t="str">
        <f>IF($J72=0,"",IF(INDEX('Прайс и заказ'!I:I,$J72)="","",INDEX('Прайс и заказ'!I:I,$J72)))</f>
      </c>
      <c r="G72" s="63" t="str">
        <f>IF($J72=0,"",IF(INDEX('Прайс и заказ'!K:K,$J72)="","",INDEX('Прайс и заказ'!K:K,$J72)))</f>
      </c>
      <c r="H72" s="62" t="str">
        <f>IF($J72=0,"",IF(INDEX('Прайс и заказ'!L:L,$J72)="","",INDEX('Прайс и заказ'!L:L,$J72)))</f>
      </c>
      <c r="I72" s="13" t="str">
        <f>IF($J72=0,"",IF(INDEX('Прайс и заказ'!M:M,$J72)="","",INDEX('Прайс и заказ'!M:M,$J72)))</f>
      </c>
      <c r="J72" t="str">
        <f>IFERROR(MATCH(64,'Прайс и заказ'!$N$7:$N$73,0)+6,0)</f>
      </c>
      <c r="L72" t="str">
        <f>IF($J72=0,"",IF(INDEX('Прайс и заказ'!Q:Q,$J72)="","",INDEX('Прайс и заказ'!Q:Q,$J72)))</f>
      </c>
    </row>
    <row r="73" spans="1:12" customHeight="1" ht="40">
      <c r="A73" s="13" t="str">
        <f>IF($J73=0,"",IFERROR(_xlfn.IMAGE(INDEX('Прайс и заказ'!$O:$O,$J73)),""))</f>
      </c>
      <c r="B73" s="61" t="str">
        <f>IF($J73=0,"",IF(INDEX('Прайс и заказ'!B:B,$J73)="","",INDEX('Прайс и заказ'!B:B,$J73)))</f>
      </c>
      <c r="C73" s="64" t="str">
        <f>IF($J73=0,"",IF(INDEX('Прайс и заказ'!C:C,$J73)="","",INDEX('Прайс и заказ'!C:C,$J73)))</f>
      </c>
      <c r="D73" s="64" t="str">
        <f>IF($J73=0,"",IF(INDEX('Прайс и заказ'!D:D,$J73)="","",INDEX('Прайс и заказ'!D:D,$J73)))</f>
      </c>
      <c r="E73" s="61" t="str">
        <f>IF($J73=0,"",IF(INDEX('Прайс и заказ'!F:F,$J73)="","",INDEX('Прайс и заказ'!F:F,$J73)))</f>
      </c>
      <c r="F73" s="62" t="str">
        <f>IF($J73=0,"",IF(INDEX('Прайс и заказ'!I:I,$J73)="","",INDEX('Прайс и заказ'!I:I,$J73)))</f>
      </c>
      <c r="G73" s="63" t="str">
        <f>IF($J73=0,"",IF(INDEX('Прайс и заказ'!K:K,$J73)="","",INDEX('Прайс и заказ'!K:K,$J73)))</f>
      </c>
      <c r="H73" s="62" t="str">
        <f>IF($J73=0,"",IF(INDEX('Прайс и заказ'!L:L,$J73)="","",INDEX('Прайс и заказ'!L:L,$J73)))</f>
      </c>
      <c r="I73" s="13" t="str">
        <f>IF($J73=0,"",IF(INDEX('Прайс и заказ'!M:M,$J73)="","",INDEX('Прайс и заказ'!M:M,$J73)))</f>
      </c>
      <c r="J73" t="str">
        <f>IFERROR(MATCH(65,'Прайс и заказ'!$N$7:$N$73,0)+6,0)</f>
      </c>
      <c r="L73" t="str">
        <f>IF($J73=0,"",IF(INDEX('Прайс и заказ'!Q:Q,$J73)="","",INDEX('Прайс и заказ'!Q:Q,$J73)))</f>
      </c>
    </row>
    <row r="74" spans="1:12" customHeight="1" ht="40">
      <c r="A74" s="13" t="str">
        <f>IF($J74=0,"",IFERROR(_xlfn.IMAGE(INDEX('Прайс и заказ'!$O:$O,$J74)),""))</f>
      </c>
      <c r="B74" s="61" t="str">
        <f>IF($J74=0,"",IF(INDEX('Прайс и заказ'!B:B,$J74)="","",INDEX('Прайс и заказ'!B:B,$J74)))</f>
      </c>
      <c r="C74" s="64" t="str">
        <f>IF($J74=0,"",IF(INDEX('Прайс и заказ'!C:C,$J74)="","",INDEX('Прайс и заказ'!C:C,$J74)))</f>
      </c>
      <c r="D74" s="64" t="str">
        <f>IF($J74=0,"",IF(INDEX('Прайс и заказ'!D:D,$J74)="","",INDEX('Прайс и заказ'!D:D,$J74)))</f>
      </c>
      <c r="E74" s="61" t="str">
        <f>IF($J74=0,"",IF(INDEX('Прайс и заказ'!F:F,$J74)="","",INDEX('Прайс и заказ'!F:F,$J74)))</f>
      </c>
      <c r="F74" s="62" t="str">
        <f>IF($J74=0,"",IF(INDEX('Прайс и заказ'!I:I,$J74)="","",INDEX('Прайс и заказ'!I:I,$J74)))</f>
      </c>
      <c r="G74" s="63" t="str">
        <f>IF($J74=0,"",IF(INDEX('Прайс и заказ'!K:K,$J74)="","",INDEX('Прайс и заказ'!K:K,$J74)))</f>
      </c>
      <c r="H74" s="62" t="str">
        <f>IF($J74=0,"",IF(INDEX('Прайс и заказ'!L:L,$J74)="","",INDEX('Прайс и заказ'!L:L,$J74)))</f>
      </c>
      <c r="I74" s="13" t="str">
        <f>IF($J74=0,"",IF(INDEX('Прайс и заказ'!M:M,$J74)="","",INDEX('Прайс и заказ'!M:M,$J74)))</f>
      </c>
      <c r="J74" t="str">
        <f>IFERROR(MATCH(66,'Прайс и заказ'!$N$7:$N$73,0)+6,0)</f>
      </c>
      <c r="L74" t="str">
        <f>IF($J74=0,"",IF(INDEX('Прайс и заказ'!Q:Q,$J74)="","",INDEX('Прайс и заказ'!Q:Q,$J74)))</f>
      </c>
    </row>
  </sheetData>
  <sheetProtection sheet="1"/>
  <mergeCells>
    <mergeCell ref="A1:I1"/>
    <mergeCell ref="A2:I2"/>
    <mergeCell ref="D4:I4"/>
    <mergeCell ref="A6:B6"/>
    <mergeCell ref="D6:E6"/>
    <mergeCell ref="G6:H6"/>
  </mergeCells>
  <conditionalFormatting sqref="A9:I74">
    <cfRule type="expression" dxfId="3" priority="1">
      <formula>$B9&lt;&gt;""</formula>
    </cfRule>
  </conditionalFormatting>
  <printOptions gridLines="false" gridLinesSet="true"/>
  <pageMargins left="0.7" right="0.7" top="0.75" bottom="0.75" header="0.3" footer="0.3"/>
  <pageSetup paperSize="1" orientation="landscape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320</v>
      </c>
    </row>
    <row r="2" spans="1:6">
      <c r="A2" t="s">
        <v>321</v>
      </c>
    </row>
    <row r="3" spans="1:6">
      <c r="A3" t="s">
        <v>322</v>
      </c>
    </row>
    <row r="4" spans="1:6">
      <c r="A4" t="s">
        <v>323</v>
      </c>
    </row>
    <row r="5" spans="1:6">
      <c r="A5" t="s">
        <v>324</v>
      </c>
      <c r="B5" t="s">
        <v>325</v>
      </c>
      <c r="C5" t="s">
        <v>326</v>
      </c>
      <c r="D5" t="s">
        <v>327</v>
      </c>
    </row>
    <row r="6" spans="1:6">
      <c r="A6" t="s">
        <v>328</v>
      </c>
      <c r="B6" t="s">
        <v>329</v>
      </c>
      <c r="C6" t="s">
        <v>330</v>
      </c>
      <c r="D6" t="s">
        <v>331</v>
      </c>
      <c r="E6" t="s">
        <v>332</v>
      </c>
      <c r="F6" t="s">
        <v>333</v>
      </c>
    </row>
    <row r="7" spans="1:6">
      <c r="A7" t="s">
        <v>334</v>
      </c>
      <c r="B7">
        <v>6</v>
      </c>
      <c r="C7" t="s">
        <v>335</v>
      </c>
      <c r="D7" t="s">
        <v>336</v>
      </c>
      <c r="E7" t="s">
        <v>337</v>
      </c>
      <c r="F7" t="s">
        <v>338</v>
      </c>
    </row>
    <row r="8" spans="1:6">
      <c r="A8" t="s">
        <v>339</v>
      </c>
      <c r="B8">
        <v>8</v>
      </c>
      <c r="C8" t="s">
        <v>340</v>
      </c>
      <c r="D8" t="s">
        <v>341</v>
      </c>
      <c r="E8" t="s">
        <v>342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Прайс и заказ</vt:lpstr>
      <vt:lpstr>Ваш заказ</vt:lpstr>
      <vt:lpstr>_1С</vt:lpstr>
    </vt:vector>
  </TitlesOfParts>
  <Company>LavrPack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LavrPack</dc:creator>
  <cp:lastModifiedBy>Unknown Creator</cp:lastModifiedBy>
  <dcterms:created xsi:type="dcterms:W3CDTF">2026-10-01T20:34:24+04:00</dcterms:created>
  <dcterms:modified xsi:type="dcterms:W3CDTF">2026-10-01T20:34:24+04:00</dcterms:modified>
  <dc:title>Прайс-лист LavrPack — Декор и аксессуары — Декор и аксессуары</dc:title>
  <dc:description>Сформировано на www.lavrpack.ru 01.10.2026 20:34</dc:description>
  <dc:subject/>
  <cp:keywords/>
  <cp:category/>
</cp:coreProperties>
</file>