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<sst xmlns="http://schemas.openxmlformats.org/spreadsheetml/2006/main" uniqueCount="556">
  <si>
    <t xml:space="preserve">   ·   Прайс-лист «Декор и аксессуары — Искуственный цветок»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</si>
  <si>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</si>
  <si>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</si>
  <si>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</si>
  <si>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</si>
  <si>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</si>
  <si>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</si>
  <si>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19:40</t>
  </si>
  <si>
    <t>Категория</t>
  </si>
  <si>
    <t>Декор и аксессуары — Искуственный цветок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</si>
  <si>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</si>
  <si>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</si>
  <si>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</si>
  <si>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</si>
  <si>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</si>
  <si>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</si>
  <si>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</si>
  <si>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</si>
  <si>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</si>
  <si>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</si>
  <si>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</si>
  <si>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</si>
  <si>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</si>
  <si>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</si>
  <si>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</si>
  <si>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Искуственный цветок — 139 поз.</t>
  </si>
  <si>
    <t>bdf9e32f-7f2b-11ec-b73f-0018e40a3af2</t>
  </si>
  <si>
    <t>56206</t>
  </si>
  <si>
    <t>Амариллис</t>
  </si>
  <si>
    <t>Китай</t>
  </si>
  <si>
    <t>большой AM-80/15-PVC</t>
  </si>
  <si>
    <t>https://www.lavrpack.ru/local/templates/phoenix_v1/images_cache/thumbs/4c12c7059f20e66624e82e06e60894b0.webp?v=1790832077</t>
  </si>
  <si>
    <t>c41c0bdd-7f2b-11ec-b73f-0018e40a3af2</t>
  </si>
  <si>
    <t>56208</t>
  </si>
  <si>
    <t>открытый с луковицей AM-60/14-PVC</t>
  </si>
  <si>
    <t>https://www.lavrpack.ru/local/templates/phoenix_v1/images_cache/thumbs/d24e7764e4dc5d87b40e06a319a7235b.webp?v=1790832077</t>
  </si>
  <si>
    <t>08bfacbd-68f4-11ef-ab51-1cfd08767542#fdda0c59-68f8-11ef-ab51-1cfd08767542</t>
  </si>
  <si>
    <t>109222</t>
  </si>
  <si>
    <t>Амариллис искусственный h60см, Красный</t>
  </si>
  <si>
    <t>https://www.lavrpack.ru/local/templates/phoenix_v1/images_cache/thumbs/40d52f290adb92f43edb9504301b54dc.webp?v=1790792811</t>
  </si>
  <si>
    <t>e8d5358a-6908-11ef-ab51-1cfd08767542#f9585926-6908-11ef-ab51-1cfd08767542</t>
  </si>
  <si>
    <t>109252</t>
  </si>
  <si>
    <t>Анемона Де Каен, Темно-фиолетовый</t>
  </si>
  <si>
    <t>https://www.lavrpack.ru/local/templates/phoenix_v1/images_cache/thumbs/896b1ccb7a53ca665cb0ae514146c224.webp?v=1790832077</t>
  </si>
  <si>
    <t>e8d5358a-6908-11ef-ab51-1cfd08767542#ef79204e-6908-11ef-ab51-1cfd08767542</t>
  </si>
  <si>
    <t>Анемона Де Каен, Фиолетово-розовый</t>
  </si>
  <si>
    <t>https://www.lavrpack.ru/local/templates/phoenix_v1/images_cache/thumbs/fd4ac308321f841eb2b80bef6f831e7d.webp?v=1790832077</t>
  </si>
  <si>
    <t>805f5c97-7f2a-11ec-b73f-0018e40a3af2</t>
  </si>
  <si>
    <t>14984</t>
  </si>
  <si>
    <t>Ветка иск.</t>
  </si>
  <si>
    <t>Эвкалипт, Китай</t>
  </si>
  <si>
    <t>ab6127cd-7f2c-11ec-b73f-0018e40a3af2</t>
  </si>
  <si>
    <t>59185</t>
  </si>
  <si>
    <t>Ягоды 29см</t>
  </si>
  <si>
    <t>https://www.lavrpack.ru/local/templates/phoenix_v1/images_cache/thumbs/cef7fe59b12a5908d143bfffc4cfeb16.webp?v=1790832077</t>
  </si>
  <si>
    <t>3c144f6c-6388-11ef-ab51-1cfd08767542#819c9f5d-6388-11ef-ab51-1cfd08767542</t>
  </si>
  <si>
    <t>109063</t>
  </si>
  <si>
    <t>Ветка искусственная "Гортензия", Голубой (81см)</t>
  </si>
  <si>
    <t>https://www.lavrpack.ru/local/templates/phoenix_v1/images_cache/thumbs/f782128225c1dc108a43924359b28523.webp?v=1790792811</t>
  </si>
  <si>
    <t>3c144f6c-6388-11ef-ab51-1cfd08767542#8e936531-6388-11ef-ab51-1cfd08767542</t>
  </si>
  <si>
    <t>Ветка искусственная "Гортензия", Сиреневый (96см)</t>
  </si>
  <si>
    <t>https://www.lavrpack.ru/local/templates/phoenix_v1/images_cache/thumbs/48eda1151167d93b71e53b0c14d09b5e.webp?v=1790832077</t>
  </si>
  <si>
    <t>cdaa70ec-6389-11ef-ab51-1cfd08767542#9bbc94db-638c-11ef-ab51-1cfd08767542</t>
  </si>
  <si>
    <t>109064</t>
  </si>
  <si>
    <t>Ветка искусственная "Магнолия", Розовый (90см)</t>
  </si>
  <si>
    <t>https://www.lavrpack.ru/local/templates/phoenix_v1/images_cache/thumbs/e038bd8f08ce8dc56966c487f086089d.webp?v=1790832077</t>
  </si>
  <si>
    <t>cdaa70ec-6389-11ef-ab51-1cfd08767542#b5bad7b4-638c-11ef-ab51-1cfd08767542</t>
  </si>
  <si>
    <t>Ветка искусственная "Магнолия", Темно-розовый (90см)</t>
  </si>
  <si>
    <t>https://www.lavrpack.ru/local/templates/phoenix_v1/images_cache/thumbs/74ad5312a24b8fc028178f471120154c.webp?v=1790832077</t>
  </si>
  <si>
    <t>7f65f938-68f1-11ef-ab51-1cfd08767542#950f9640-68f1-11ef-ab51-1cfd08767542</t>
  </si>
  <si>
    <t>109214</t>
  </si>
  <si>
    <t>Гвоздика турецкая искусственная h54см, Пурпурный</t>
  </si>
  <si>
    <t>https://www.lavrpack.ru/local/templates/phoenix_v1/images_cache/thumbs/aad35fb982b2e5273f86345cfee62049.webp?v=1790792811</t>
  </si>
  <si>
    <t>7f65f938-68f1-11ef-ab51-1cfd08767542#a70dd4f9-68f1-11ef-ab51-1cfd08767542</t>
  </si>
  <si>
    <t>Гвоздика турецкая искусственная h54см, Светло-розовый</t>
  </si>
  <si>
    <t>https://www.lavrpack.ru/local/templates/phoenix_v1/images_cache/thumbs/ce49c8e2dadb0aa385b9fc6dafe0bade.webp?v=1790832077</t>
  </si>
  <si>
    <t>ae43c877-6905-11ef-ab51-1cfd08767542#bf1f8ebd-6905-11ef-ab51-1cfd08767542</t>
  </si>
  <si>
    <t>109247</t>
  </si>
  <si>
    <t>Гладиолус, Персиковый</t>
  </si>
  <si>
    <t>https://www.lavrpack.ru/local/templates/phoenix_v1/images_cache/thumbs/015396d824cf88aa26cb865d3f0f300a.webp?v=1790832077</t>
  </si>
  <si>
    <t>a2c94692-68f0-11ef-ab51-1cfd08767542#2de5998f-68f8-11ef-ab51-1cfd08767542</t>
  </si>
  <si>
    <t>109213</t>
  </si>
  <si>
    <t>Ирис искусственный 1 голова d17см, 2 бутона, h80см, Бело-сиреневый</t>
  </si>
  <si>
    <t>https://www.lavrpack.ru/local/templates/phoenix_v1/images_cache/thumbs/e9d1b3deb9e88cbe5ac987a10ee88ae0.webp?v=1790792811</t>
  </si>
  <si>
    <t>c5a30bfa-fbed-11ee-9f05-00e01a6800eb</t>
  </si>
  <si>
    <t>107229</t>
  </si>
  <si>
    <t>Иск.цветок</t>
  </si>
  <si>
    <t>Ветка в букете с ягодами (153.249)</t>
  </si>
  <si>
    <t>https://www.lavrpack.ru/local/templates/phoenix_v1/images_cache/thumbs/f38a8ab78c502cc6ccbdc4b231c64d7c.webp?v=1790832077</t>
  </si>
  <si>
    <t>8b21e8bb-e721-11ec-aec6-00e01a6800eb</t>
  </si>
  <si>
    <t>71801</t>
  </si>
  <si>
    <t>Ветка зелени гипсофила свисающая (155.7)</t>
  </si>
  <si>
    <t>https://www.lavrpack.ru/local/templates/phoenix_v1/images_cache/thumbs/88a6b5935b7b2bad752a52d2c10be3c9.webp?v=1790832077</t>
  </si>
  <si>
    <t>f59cc5c6-fc7b-11ee-9f05-00e01a6800eb</t>
  </si>
  <si>
    <t>107251</t>
  </si>
  <si>
    <t>Ветка зелени папоротник 18 листьев свисающий (155.53)</t>
  </si>
  <si>
    <t>https://www.lavrpack.ru/local/templates/phoenix_v1/images_cache/thumbs/1f2fcff98832a91ea980f7fc397e9b7d.webp?v=1790832077</t>
  </si>
  <si>
    <t>92760750-066c-11ed-8757-00e01a6800eb</t>
  </si>
  <si>
    <t>72521</t>
  </si>
  <si>
    <t>Ветка кустовая осока с напылением (156.17)</t>
  </si>
  <si>
    <t>bac45cb1-fc7d-11ee-9f05-00e01a6800eb</t>
  </si>
  <si>
    <t>107259</t>
  </si>
  <si>
    <t>зеленый (4.132)</t>
  </si>
  <si>
    <t>Газон декоративный еж 26×26см</t>
  </si>
  <si>
    <t>https://www.lavrpack.ru/local/templates/phoenix_v1/images_cache/thumbs/852aeb6b6a69016e500d9e8465917a89.webp?v=1790832077</t>
  </si>
  <si>
    <t>f4523d69-7f2a-11ec-b73f-0018e40a3af2</t>
  </si>
  <si>
    <t>37069</t>
  </si>
  <si>
    <t>Гербера BR8002 в ассорт</t>
  </si>
  <si>
    <t>https://www.lavrpack.ru/local/templates/phoenix_v1/images_cache/thumbs/6c0234b5d8af197711841b70a96f1c74.webp?v=1790792811</t>
  </si>
  <si>
    <t>9e676eeb-03cc-11f0-ab3d-22344d083d2c#dd47bd87-03cd-11f0-ab3d-22344d083d2c</t>
  </si>
  <si>
    <t>111628</t>
  </si>
  <si>
    <t>Синий</t>
  </si>
  <si>
    <t>Мак L63см (30330)</t>
  </si>
  <si>
    <t>https://www.lavrpack.ru/local/templates/phoenix_v1/images_cache/thumbs/c43e6389de68ed366ba31e5d46d1000b.webp?v=1790832077</t>
  </si>
  <si>
    <t>9e676eeb-03cc-11f0-ab3d-22344d083d2c#b9143af2-03cc-11f0-ab3d-22344d083d2c</t>
  </si>
  <si>
    <t>Желтый</t>
  </si>
  <si>
    <t>https://www.lavrpack.ru/local/templates/phoenix_v1/images_cache/thumbs/691c759e935edbe0f2bf1edbe0feaf2b.webp?v=1790832077</t>
  </si>
  <si>
    <t>9e676eeb-03cc-11f0-ab3d-22344d083d2c#ec43a82f-03cc-11f0-ab3d-22344d083d2c</t>
  </si>
  <si>
    <t>Оранжевый</t>
  </si>
  <si>
    <t>https://www.lavrpack.ru/local/templates/phoenix_v1/images_cache/thumbs/0aef98ff53ed05748a2d27a80c51857a.webp?v=1790832077</t>
  </si>
  <si>
    <t>9e676eeb-03cc-11f0-ab3d-22344d083d2c#acfd02bb-03cc-11f0-ab3d-22344d083d2c</t>
  </si>
  <si>
    <t>Белый</t>
  </si>
  <si>
    <t>https://www.lavrpack.ru/local/templates/phoenix_v1/images_cache/thumbs/5a74b0b2b1ada8f2322513a52c4e0dda.webp?v=1790832077</t>
  </si>
  <si>
    <t>9e676eeb-03cc-11f0-ab3d-22344d083d2c#cb5fc845-03cd-11f0-ab3d-22344d083d2c</t>
  </si>
  <si>
    <t>Голубой</t>
  </si>
  <si>
    <t>https://www.lavrpack.ru/local/templates/phoenix_v1/images_cache/thumbs/15f5c09c48c731200e2cc7c4120ced94.webp?v=1790792811</t>
  </si>
  <si>
    <t>4dc9d876-03d2-11f0-ab3d-22344d083d2c#6995e316-03d2-11f0-ab3d-22344d083d2c</t>
  </si>
  <si>
    <t>111632</t>
  </si>
  <si>
    <t>Нарциссы, L50см, Китай, Желтый (23138)</t>
  </si>
  <si>
    <t>https://www.lavrpack.ru/local/templates/phoenix_v1/images_cache/thumbs/30738fcf92a691641509439363bf2ee7.webp?v=1790792811</t>
  </si>
  <si>
    <t>4dc9d876-03d2-11f0-ab3d-22344d083d2c#5bb42046-03d2-11f0-ab3d-22344d083d2c</t>
  </si>
  <si>
    <t>Нарциссы, L50см, Китай, Бело-желтый (23138)</t>
  </si>
  <si>
    <t>https://www.lavrpack.ru/local/templates/phoenix_v1/images_cache/thumbs/32f2caa7225a401dc40c8e771179bde9.webp?v=1790832077</t>
  </si>
  <si>
    <t>6885cb94-6919-11ef-ab51-1cfd08767542#6f713bed-6919-11ef-ab51-1cfd08767542</t>
  </si>
  <si>
    <t>109264</t>
  </si>
  <si>
    <t>Нерине, Белый</t>
  </si>
  <si>
    <t>https://www.lavrpack.ru/local/templates/phoenix_v1/images_cache/thumbs/697fe878ae5f3b361a9cc88304df3849.webp?v=1790832077</t>
  </si>
  <si>
    <t>286915d3-6919-11ef-ab51-1cfd08767542#355b1480-6919-11ef-ab51-1cfd08767542</t>
  </si>
  <si>
    <t>109263</t>
  </si>
  <si>
    <t>Латирус, Темно-лиловый</t>
  </si>
  <si>
    <t>https://www.lavrpack.ru/local/templates/phoenix_v1/images_cache/thumbs/988584a9d6de3d7e598a1c3c7277f4d1.webp?v=1790832077</t>
  </si>
  <si>
    <t>594ef8e9-03d6-11f0-ab3d-22344d083d2c#8710b0c6-03d6-11f0-ab3d-22344d083d2c</t>
  </si>
  <si>
    <t>111637</t>
  </si>
  <si>
    <t>Роза, три бутона, D11см*L75см, Китай, Фиолетово-красный (30247)</t>
  </si>
  <si>
    <t>https://www.lavrpack.ru/local/templates/phoenix_v1/images_cache/thumbs/207dd57f6636fe5bc7a0fdf25b36920d.webp?v=1790832077</t>
  </si>
  <si>
    <t>594ef8e9-03d6-11f0-ab3d-22344d083d2c#6c839dd4-03d6-11f0-ab3d-22344d083d2c</t>
  </si>
  <si>
    <t>Роза, три бутона, D11см*L75см, Китай, Белый (30247)</t>
  </si>
  <si>
    <t>https://www.lavrpack.ru/local/templates/phoenix_v1/images_cache/thumbs/54b5af9c701fe947e9579ceb188ea88a.webp?v=1790832077</t>
  </si>
  <si>
    <t>594ef8e9-03d6-11f0-ab3d-22344d083d2c#810565b5-03d6-11f0-ab3d-22344d083d2c</t>
  </si>
  <si>
    <t>Роза, три бутона, D11см*L75см, Китай, Темно-розовый (30247)</t>
  </si>
  <si>
    <t>https://www.lavrpack.ru/local/templates/phoenix_v1/images_cache/thumbs/955fb2d83ef737e952e70e2eced74209.webp?v=1790792811</t>
  </si>
  <si>
    <t>594ef8e9-03d6-11f0-ab3d-22344d083d2c#74f46852-03d6-11f0-ab3d-22344d083d2c</t>
  </si>
  <si>
    <t>Роза, три бутона, D11см*L75см, Китай, Розовый (30247)</t>
  </si>
  <si>
    <t>https://www.lavrpack.ru/local/templates/phoenix_v1/images_cache/thumbs/895df62f9920392ffffa8ed4f0a3729b.webp?v=1790832077</t>
  </si>
  <si>
    <t>88b64a6b-03d9-11f0-ab3d-22344d083d2c#aff8b124-03d9-11f0-ab3d-22344d083d2c</t>
  </si>
  <si>
    <t>111640</t>
  </si>
  <si>
    <t>Роза, французская, 3 бутона, L80см, Китай, Фиолетовый (30318)</t>
  </si>
  <si>
    <t>https://www.lavrpack.ru/local/templates/phoenix_v1/images_cache/thumbs/927827edcafa9a81da8bf97a851fc63c.webp?v=1790832077</t>
  </si>
  <si>
    <t>88b64a6b-03d9-11f0-ab3d-22344d083d2c#964afe83-03d9-11f0-ab3d-22344d083d2c</t>
  </si>
  <si>
    <t>Роза, французская, 3 бутона, L80см, Китай, Темно-розовый (30318)</t>
  </si>
  <si>
    <t>https://www.lavrpack.ru/local/templates/phoenix_v1/images_cache/thumbs/90ca8bae89268665628a9771e9048bc2.webp?v=1790832077</t>
  </si>
  <si>
    <t>88b64a6b-03d9-11f0-ab3d-22344d083d2c#a2c23672-03d9-11f0-ab3d-22344d083d2c</t>
  </si>
  <si>
    <t>Роза, французская, 3 бутона, L80см, Китай, Розовый (30318)</t>
  </si>
  <si>
    <t>https://www.lavrpack.ru/local/templates/phoenix_v1/images_cache/thumbs/643765bd9092ed3bf6fa5de5bddbfd26.webp?v=1790792811</t>
  </si>
  <si>
    <t>7bcb671d-03c7-11f0-ab3d-22344d083d2c#959ef029-03c7-11f0-ab3d-22344d083d2c</t>
  </si>
  <si>
    <t>111620</t>
  </si>
  <si>
    <t>Гвоздика, D8см*L50см, Китай, Розовая (30294)</t>
  </si>
  <si>
    <t>https://www.lavrpack.ru/local/templates/phoenix_v1/images_cache/thumbs/811fa689f9b39a76ed58fc031d84bd5f.webp?v=1790792811</t>
  </si>
  <si>
    <t>8c17f78c-03cf-11f0-ab3d-22344d083d2c#be1c04cc-03cf-11f0-ab3d-22344d083d2c</t>
  </si>
  <si>
    <t>111629</t>
  </si>
  <si>
    <t>Гиацинт, L44см, Китай, Фиолетовый (250220)</t>
  </si>
  <si>
    <t>https://www.lavrpack.ru/local/templates/phoenix_v1/images_cache/thumbs/396cd990179266ac4f92772dda6b2e4a.webp?v=1790792811</t>
  </si>
  <si>
    <t>8c17f78c-03cf-11f0-ab3d-22344d083d2c#b21dae9f-03cf-11f0-ab3d-22344d083d2c</t>
  </si>
  <si>
    <t>Гиацинт, L44см, Китай, Розовый (250220)</t>
  </si>
  <si>
    <t>https://www.lavrpack.ru/local/templates/phoenix_v1/images_cache/thumbs/c3af4aa0b84cfa29edd89e79e442830a.webp?v=1790832077</t>
  </si>
  <si>
    <t>e7fd62a8-03d0-11f0-ab3d-22344d083d2c#1718a29a-03d1-11f0-ab3d-22344d083d2c</t>
  </si>
  <si>
    <t>111631</t>
  </si>
  <si>
    <t>Тюльпаны, букет, 7 штук, L49см, Китай, Розовый (235003)</t>
  </si>
  <si>
    <t>https://www.lavrpack.ru/local/templates/phoenix_v1/images_cache/thumbs/d909fb610ae8ab5583d2188fced6d652.webp?v=1790792811</t>
  </si>
  <si>
    <t>e7fd62a8-03d0-11f0-ab3d-22344d083d2c#3f636b24-03d1-11f0-ab3d-22344d083d2c</t>
  </si>
  <si>
    <t>Тюльпаны, букет, 7 штук, L49см, Китай, Белый (235003)</t>
  </si>
  <si>
    <t>https://www.lavrpack.ru/local/templates/phoenix_v1/images_cache/thumbs/c6e5146fbdc257486beec98aa4ef8369.webp?v=1790832077</t>
  </si>
  <si>
    <t>e7fd62a8-03d0-11f0-ab3d-22344d083d2c#5266ea6f-03d1-11f0-ab3d-22344d083d2c</t>
  </si>
  <si>
    <t>Тюльпаны, букет, 7 штук, L49см, Китай, Красный (235003)</t>
  </si>
  <si>
    <t>https://www.lavrpack.ru/local/templates/phoenix_v1/images_cache/thumbs/4cecdaa628c9eb6b12cf95beba58e048.webp?v=1790832077</t>
  </si>
  <si>
    <t>6c3eb956-049a-11f0-ab3d-22344d083d2c#85a60a6d-049a-11f0-ab3d-22344d083d2c</t>
  </si>
  <si>
    <t>111661</t>
  </si>
  <si>
    <t>Роза, L25см (букет), Китай, Розовый (30299)</t>
  </si>
  <si>
    <t>https://www.lavrpack.ru/local/templates/phoenix_v1/images_cache/thumbs/9c30d473f21597b10bdb30f12af4b2b3.webp?v=1790792811</t>
  </si>
  <si>
    <t>711ca86d-03ca-11f0-ab3d-22344d083d2c#f0969b64-03ca-11f0-ab3d-22344d083d2c</t>
  </si>
  <si>
    <t>111626</t>
  </si>
  <si>
    <t>Гортензия, D18см*L50см, Китай, Синий (XTXQ-008)</t>
  </si>
  <si>
    <t>https://www.lavrpack.ru/local/templates/phoenix_v1/images_cache/thumbs/01f92caeacb6b390906d5c8efdc977ff.webp?v=1790832077</t>
  </si>
  <si>
    <t>711ca86d-03ca-11f0-ab3d-22344d083d2c#b5b68836-03ca-11f0-ab3d-22344d083d2c</t>
  </si>
  <si>
    <t>Гортензия, D18см*L50см, Китай, Светло-розовый (XTXQ-003)</t>
  </si>
  <si>
    <t>https://www.lavrpack.ru/local/templates/phoenix_v1/images_cache/thumbs/4ef575c40a86ec1143310a56dca7fae1.webp?v=1790792811</t>
  </si>
  <si>
    <t>711ca86d-03ca-11f0-ab3d-22344d083d2c#1f4842cf-03cb-11f0-ab3d-22344d083d2c</t>
  </si>
  <si>
    <t>Гортензия, D18см*L50см, Китай, Светло-зеленый (XTXQ-012)</t>
  </si>
  <si>
    <t>https://www.lavrpack.ru/local/templates/phoenix_v1/images_cache/thumbs/2eb5cf767da9d6d40b3ae60a8ef052f7.webp?v=1790832077</t>
  </si>
  <si>
    <t>711ca86d-03ca-11f0-ab3d-22344d083d2c#1879cba6-03cb-11f0-ab3d-22344d083d2c</t>
  </si>
  <si>
    <t>Гортензия, D18см*L50см, Китай, Слоновая кость (XTXQ-011)</t>
  </si>
  <si>
    <t>https://www.lavrpack.ru/local/templates/phoenix_v1/images_cache/thumbs/202e7a98904554a3b010d2b69f9be641.webp?v=1790832077</t>
  </si>
  <si>
    <t>711ca86d-03ca-11f0-ab3d-22344d083d2c#fcc694d4-03ca-11f0-ab3d-22344d083d2c</t>
  </si>
  <si>
    <t>Гортензия, D18см*L50см, Китай, Желтый (XTXQ-009)</t>
  </si>
  <si>
    <t>https://www.lavrpack.ru/local/templates/phoenix_v1/images_cache/thumbs/1569a64de8422862e08d24ce04150ef9.webp?v=1790832077</t>
  </si>
  <si>
    <t>711ca86d-03ca-11f0-ab3d-22344d083d2c#d725f725-03ca-11f0-ab3d-22344d083d2c</t>
  </si>
  <si>
    <t>Гортензия, D18см*L50см, Китай, Фиолетовый (XTXQ-006)</t>
  </si>
  <si>
    <t>https://www.lavrpack.ru/local/templates/phoenix_v1/images_cache/thumbs/008a09a1450577dee5114db077ea38cf.webp?v=1790832077</t>
  </si>
  <si>
    <t>711ca86d-03ca-11f0-ab3d-22344d083d2c#2d075fcc-03cb-11f0-ab3d-22344d083d2c</t>
  </si>
  <si>
    <t>Гортензия, D18см*L50см, Китай, Зеленый (XTXQ-013)</t>
  </si>
  <si>
    <t>https://www.lavrpack.ru/local/templates/phoenix_v1/images_cache/thumbs/ec164fa80186b341752175aa9504f249.webp?v=1790832077</t>
  </si>
  <si>
    <t>e825fa20-03d2-11f0-ab3d-22344d083d2c#fc64a6f6-03d2-11f0-ab3d-22344d083d2c</t>
  </si>
  <si>
    <t>111633</t>
  </si>
  <si>
    <t>Тюльпан, L37см, Китай, Белый (30137)</t>
  </si>
  <si>
    <t>https://www.lavrpack.ru/local/templates/phoenix_v1/images_cache/thumbs/c279b2ecd4fa4317a96a7aa1252c6b19.webp?v=1790832077</t>
  </si>
  <si>
    <t>e825fa20-03d2-11f0-ab3d-22344d083d2c#110f870b-03d3-11f0-ab3d-22344d083d2c</t>
  </si>
  <si>
    <t>Тюльпан, L37см, Китай, Светло-розовый (30137)</t>
  </si>
  <si>
    <t>https://www.lavrpack.ru/local/templates/phoenix_v1/images_cache/thumbs/42b3ab353e6b07b870f22cca46852153.webp?v=1790792811</t>
  </si>
  <si>
    <t>e825fa20-03d2-11f0-ab3d-22344d083d2c#1824b579-03d3-11f0-ab3d-22344d083d2c</t>
  </si>
  <si>
    <t>Тюльпан, L37см, Китай, Красный (30137)</t>
  </si>
  <si>
    <t>https://www.lavrpack.ru/local/templates/phoenix_v1/images_cache/thumbs/2054cda7645b22a4038248469b904df7.webp?v=1790832077</t>
  </si>
  <si>
    <t>e825fa20-03d2-11f0-ab3d-22344d083d2c#02e71b4a-03d3-11f0-ab3d-22344d083d2c</t>
  </si>
  <si>
    <t>Тюльпан, L37см, Китай, Розовый (30137)</t>
  </si>
  <si>
    <t>https://www.lavrpack.ru/local/templates/phoenix_v1/images_cache/thumbs/6e9afd38a3a3cbf9305d018fe90fcaa0.webp?v=1790832077</t>
  </si>
  <si>
    <t>5084cfbd-03d4-11f0-ab3d-22344d083d2c#7d3cb20d-03d4-11f0-ab3d-22344d083d2c</t>
  </si>
  <si>
    <t>111635</t>
  </si>
  <si>
    <t>Роза французская, L63см, Китай, Белый (30342)</t>
  </si>
  <si>
    <t>https://www.lavrpack.ru/local/templates/phoenix_v1/images_cache/thumbs/23e378365bfb48ad03a4550d0134a160.webp?v=1790832077</t>
  </si>
  <si>
    <t>5084cfbd-03d4-11f0-ab3d-22344d083d2c#d37c5de4-03d4-11f0-ab3d-22344d083d2c</t>
  </si>
  <si>
    <t>Роза французская, L63см, Китай, Красная (30342)</t>
  </si>
  <si>
    <t>https://www.lavrpack.ru/local/templates/phoenix_v1/images_cache/thumbs/38a124842ea7ed1148edcb52abd20631.webp?v=1790832077</t>
  </si>
  <si>
    <t>5084cfbd-03d4-11f0-ab3d-22344d083d2c#c91e1828-03d4-11f0-ab3d-22344d083d2c</t>
  </si>
  <si>
    <t>Роза французская, L63см, Китай, Темно-розовая (30342)</t>
  </si>
  <si>
    <t>https://www.lavrpack.ru/local/templates/phoenix_v1/images_cache/thumbs/7fef4f1501ed482e923d0a9f8d805a3a.webp?v=1790832077</t>
  </si>
  <si>
    <t>5084cfbd-03d4-11f0-ab3d-22344d083d2c#bb66b252-03d4-11f0-ab3d-22344d083d2c</t>
  </si>
  <si>
    <t>Роза французская, L63см, Китай, Розовый (30342)</t>
  </si>
  <si>
    <t>https://www.lavrpack.ru/local/templates/phoenix_v1/images_cache/thumbs/30452b4300a4d20bfa603500926729ab.webp?v=1790832077</t>
  </si>
  <si>
    <t>5084cfbd-03d4-11f0-ab3d-22344d083d2c#980168ef-03d4-11f0-ab3d-22344d083d2c</t>
  </si>
  <si>
    <t>Роза французская, L63см, Китай, Светло-розовый (30342)</t>
  </si>
  <si>
    <t>https://www.lavrpack.ru/local/templates/phoenix_v1/images_cache/thumbs/c100cbb3e2854a6c5258e97db23eedc7.webp?v=1790832077</t>
  </si>
  <si>
    <t>5084cfbd-03d4-11f0-ab3d-22344d083d2c#8a0e9521-03d4-11f0-ab3d-22344d083d2c</t>
  </si>
  <si>
    <t>Роза французская, L63см, Китай, Шампань (30342)</t>
  </si>
  <si>
    <t>https://www.lavrpack.ru/local/templates/phoenix_v1/images_cache/thumbs/b99ae552c391e6f1aa4b179aee4772e7.webp?v=1790792811</t>
  </si>
  <si>
    <t>91e75c2a-03c2-11f0-ab3d-22344d083d2c#2af8d32a-03c5-11f0-ab3d-22344d083d2c</t>
  </si>
  <si>
    <t>111613</t>
  </si>
  <si>
    <t>Пион, D14см*L65см, Китай, Розово-красный (30313-1)</t>
  </si>
  <si>
    <t>https://www.lavrpack.ru/local/templates/phoenix_v1/images_cache/thumbs/59469232decd363fdf8cab39f166065c.webp?v=1790792811</t>
  </si>
  <si>
    <t>91e75c2a-03c2-11f0-ab3d-22344d083d2c#b90fc5de-03c2-11f0-ab3d-22344d083d2c</t>
  </si>
  <si>
    <t>Пион, D14см*L65см, Китай, Шампань (30313)</t>
  </si>
  <si>
    <t>https://www.lavrpack.ru/local/templates/phoenix_v1/images_cache/thumbs/a9e134c3daf9ce4b0f0db845fb068475.webp?v=1790832077</t>
  </si>
  <si>
    <t>91e75c2a-03c2-11f0-ab3d-22344d083d2c#1cfd6b0e-03c5-11f0-ab3d-22344d083d2c</t>
  </si>
  <si>
    <t>Пион, D14см*L65см, Китай, Светло-розовая (30313-1)</t>
  </si>
  <si>
    <t>https://www.lavrpack.ru/local/templates/phoenix_v1/images_cache/thumbs/ef6ad5478720557fc5df984dd08e2123.webp?v=1790792811</t>
  </si>
  <si>
    <t>91e75c2a-03c2-11f0-ab3d-22344d083d2c#ac39d7f6-03c2-11f0-ab3d-22344d083d2c</t>
  </si>
  <si>
    <t>Пион, D14см*L65см, Китай, Белый (30313)</t>
  </si>
  <si>
    <t>https://www.lavrpack.ru/local/templates/phoenix_v1/images_cache/thumbs/92336ad610e702516d1aee07b0be27f2.webp?v=1790832077</t>
  </si>
  <si>
    <t>2b4a3764-03da-11f0-ab3d-22344d083d2c#76b15c25-03da-11f0-ab3d-22344d083d2c</t>
  </si>
  <si>
    <t>111641</t>
  </si>
  <si>
    <t>Орхидея, L24,5см, Китай, Фиолетовый (30230)</t>
  </si>
  <si>
    <t>https://www.lavrpack.ru/local/templates/phoenix_v1/images_cache/thumbs/3068edf89c2910a860f4b3a31891664a.webp?v=1790832077</t>
  </si>
  <si>
    <t>2b4a3764-03da-11f0-ab3d-22344d083d2c#60fd7b27-03da-11f0-ab3d-22344d083d2c</t>
  </si>
  <si>
    <t>Орхидея, L24,5см, Китай, Розовый (30230)</t>
  </si>
  <si>
    <t>https://www.lavrpack.ru/local/templates/phoenix_v1/images_cache/thumbs/67aea90e3d42fd788efff4eea03f0b87.webp?v=1790792811</t>
  </si>
  <si>
    <t>2b4a3764-03da-11f0-ab3d-22344d083d2c#53a190f4-03da-11f0-ab3d-22344d083d2c</t>
  </si>
  <si>
    <t>Орхидея, L24,5см, Китай, Светло-розовый (30230)</t>
  </si>
  <si>
    <t>https://www.lavrpack.ru/local/templates/phoenix_v1/images_cache/thumbs/8c6ac073ef2df8bbe55254b2ed6173f9.webp?v=1790832077</t>
  </si>
  <si>
    <t>2b4a3764-03da-11f0-ab3d-22344d083d2c#6ee4b467-03da-11f0-ab3d-22344d083d2c</t>
  </si>
  <si>
    <t>Орхидея, L24,5см, Китай, Оранжевый (30230)</t>
  </si>
  <si>
    <t>https://www.lavrpack.ru/local/templates/phoenix_v1/images_cache/thumbs/67ab41811827e367414f39f7fc1fecf5.webp?v=1790792811</t>
  </si>
  <si>
    <t>8f4f0aff-03c9-11f0-ab3d-22344d083d2c#3798038b-0498-11f0-ab3d-22344d083d2c</t>
  </si>
  <si>
    <t>111623</t>
  </si>
  <si>
    <t>Пион, D12см*L58см, Китай, Белый (30295-1)</t>
  </si>
  <si>
    <t>https://www.lavrpack.ru/local/templates/phoenix_v1/images_cache/thumbs/3d6216a91b0a3367d6a6350e85cf79c8.webp?v=1790832077</t>
  </si>
  <si>
    <t>8f4f0aff-03c9-11f0-ab3d-22344d083d2c#bc33448c-03c9-11f0-ab3d-22344d083d2c</t>
  </si>
  <si>
    <t>Пион, D12см*L58см, Китай, Белый (30295)</t>
  </si>
  <si>
    <t>https://www.lavrpack.ru/local/templates/phoenix_v1/images_cache/thumbs/b93006b3778dca5796eb69fb2b058473.webp?v=1790832077</t>
  </si>
  <si>
    <t>8f4f0aff-03c9-11f0-ab3d-22344d083d2c#afd312f1-03c9-11f0-ab3d-22344d083d2c</t>
  </si>
  <si>
    <t>Пион, D12см*L58см, Китай, Шампань (30295)</t>
  </si>
  <si>
    <t>https://www.lavrpack.ru/local/templates/phoenix_v1/images_cache/thumbs/dca34ae8239315e457eac8a18c0c05ed.webp?v=1790792811</t>
  </si>
  <si>
    <t>8f4f0aff-03c9-11f0-ab3d-22344d083d2c#c98ae578-03c9-11f0-ab3d-22344d083d2c</t>
  </si>
  <si>
    <t>Пион, D12см*L58см, Китай, Розово-красный (30295)</t>
  </si>
  <si>
    <t>https://www.lavrpack.ru/local/templates/phoenix_v1/images_cache/thumbs/b15cea33ddc93f0b382891cbe6ba3d90.webp?v=1790832077</t>
  </si>
  <si>
    <t>8f98cd29-03c1-11f0-ab3d-22344d083d2c#bd8b3d45-03c1-11f0-ab3d-22344d083d2c</t>
  </si>
  <si>
    <t>111612</t>
  </si>
  <si>
    <t>Роза остина, D14см*L57см, Китай, Шампань (30221)</t>
  </si>
  <si>
    <t>https://www.lavrpack.ru/local/templates/phoenix_v1/images_cache/thumbs/6b5a246da703ccbae0f5de46bdacda05.webp?v=1790792811</t>
  </si>
  <si>
    <t>8f98cd29-03c1-11f0-ab3d-22344d083d2c#d8e3b906-03c1-11f0-ab3d-22344d083d2c</t>
  </si>
  <si>
    <t>Роза остина, D14см*L57см, Китай, Оранжевая (30221)</t>
  </si>
  <si>
    <t>https://www.lavrpack.ru/local/templates/phoenix_v1/images_cache/thumbs/3c2c36f8a30fcecf8ec191745e8e5f49.webp?v=1790832077</t>
  </si>
  <si>
    <t>8f98cd29-03c1-11f0-ab3d-22344d083d2c#c6d640a8-03c1-11f0-ab3d-22344d083d2c</t>
  </si>
  <si>
    <t>Роза остина, D14см*L57см, Китай, Розовая (30221)</t>
  </si>
  <si>
    <t>https://www.lavrpack.ru/local/templates/phoenix_v1/images_cache/thumbs/a20c90d301ae987867aaebb7316ec5c2.webp?v=1790832077</t>
  </si>
  <si>
    <t>8f98cd29-03c1-11f0-ab3d-22344d083d2c#b168841e-03c1-11f0-ab3d-22344d083d2c</t>
  </si>
  <si>
    <t>Роза остина, D14см*L57см, Китай, Белая (30221)</t>
  </si>
  <si>
    <t>https://www.lavrpack.ru/local/templates/phoenix_v1/images_cache/thumbs/16a260f1e157d34ff7999a363e11f174.webp?v=1790832077</t>
  </si>
  <si>
    <t>8f98cd29-03c1-11f0-ab3d-22344d083d2c#f39d40b3-03c1-11f0-ab3d-22344d083d2c</t>
  </si>
  <si>
    <t>Роза остина, D14см*L57см, Китай, Красная (30221)</t>
  </si>
  <si>
    <t>https://www.lavrpack.ru/local/templates/phoenix_v1/images_cache/thumbs/354e513f579f6ba33c113e27c09245eb.webp?v=1790832077</t>
  </si>
  <si>
    <t>8f98cd29-03c1-11f0-ab3d-22344d083d2c#e9df02af-03c1-11f0-ab3d-22344d083d2c</t>
  </si>
  <si>
    <t>Роза остина, D14см*L57см, Китай, Фиолетовая (30221)</t>
  </si>
  <si>
    <t>https://www.lavrpack.ru/local/templates/phoenix_v1/images_cache/thumbs/5533d61f1041eee63c063c554224c3d9.webp?v=1790832077</t>
  </si>
  <si>
    <t>81dd8b6b-03d7-11f0-ab3d-22344d083d2c#a0f68200-03d7-11f0-ab3d-22344d083d2c</t>
  </si>
  <si>
    <t>111638</t>
  </si>
  <si>
    <t>Роза, имперская, L65см, Китай, Молочно-розовый (30249)</t>
  </si>
  <si>
    <t>https://www.lavrpack.ru/local/templates/phoenix_v1/images_cache/thumbs/8f57606bf70295316373aa2aa1251544.webp?v=1790792811</t>
  </si>
  <si>
    <t>81dd8b6b-03d7-11f0-ab3d-22344d083d2c#c540d39c-03d7-11f0-ab3d-22344d083d2c</t>
  </si>
  <si>
    <t>Роза, имперская, L65см, Китай, Осенний розовый (30249)</t>
  </si>
  <si>
    <t>https://www.lavrpack.ru/local/templates/phoenix_v1/images_cache/thumbs/b1c883fa1478dd3d55397601da89f7be.webp?v=1790832077</t>
  </si>
  <si>
    <t>81dd8b6b-03d7-11f0-ab3d-22344d083d2c#b75b00a5-03d7-11f0-ab3d-22344d083d2c</t>
  </si>
  <si>
    <t>Роза, имперская, L65см, Китай, Розовый (30249)</t>
  </si>
  <si>
    <t>https://www.lavrpack.ru/local/templates/phoenix_v1/images_cache/thumbs/5fe1ff92a0e5673e6c6faf07ee6cc8a7.webp?v=1790832077</t>
  </si>
  <si>
    <t>81dd8b6b-03d7-11f0-ab3d-22344d083d2c#ad8ab05f-03d7-11f0-ab3d-22344d083d2c</t>
  </si>
  <si>
    <t>Роза, имперская, L65см, Китай, Светло-розовый (30249)</t>
  </si>
  <si>
    <t>https://www.lavrpack.ru/local/templates/phoenix_v1/images_cache/thumbs/52f3eff9a7ec2f807bc6ab7e01091c29.webp?v=1790832077</t>
  </si>
  <si>
    <t>81dd8b6b-03d7-11f0-ab3d-22344d083d2c#8e4f8cf7-03d7-11f0-ab3d-22344d083d2c</t>
  </si>
  <si>
    <t>Роза, имперская, L65см, Китай, Белый (30249)</t>
  </si>
  <si>
    <t>https://www.lavrpack.ru/local/templates/phoenix_v1/images_cache/thumbs/8aefcb4184c26f1ec66e2c7150bfc1bb.webp?v=1790832077</t>
  </si>
  <si>
    <t>be025bf9-03d5-11f0-ab3d-22344d083d2c#e54cae31-03d5-11f0-ab3d-22344d083d2c</t>
  </si>
  <si>
    <t>111636</t>
  </si>
  <si>
    <t>Тюльпан, L62см, Китай, Розово-красный (30220)</t>
  </si>
  <si>
    <t>https://www.lavrpack.ru/local/templates/phoenix_v1/images_cache/thumbs/90f7aa0b4f0537244c8d515fa539ef83.webp?v=1790832077</t>
  </si>
  <si>
    <t>be025bf9-03d5-11f0-ab3d-22344d083d2c#cba1574a-03d5-11f0-ab3d-22344d083d2c</t>
  </si>
  <si>
    <t>Тюльпан, L62см, Китай, Белый (30220)</t>
  </si>
  <si>
    <t>https://www.lavrpack.ru/local/templates/phoenix_v1/images_cache/thumbs/6a738cf12fdae33a273ec7369c6d9cdb.webp?v=1790792811</t>
  </si>
  <si>
    <t>be025bf9-03d5-11f0-ab3d-22344d083d2c#d8ad5a29-03d5-11f0-ab3d-22344d083d2c</t>
  </si>
  <si>
    <t>Тюльпан, L62см, Китай, Розовый (30220)</t>
  </si>
  <si>
    <t>https://www.lavrpack.ru/local/templates/phoenix_v1/images_cache/thumbs/0f70943186ad571adf21df66be08aae1.webp?v=1790832077</t>
  </si>
  <si>
    <t>be025bf9-03d5-11f0-ab3d-22344d083d2c#f23a1cd7-03d5-11f0-ab3d-22344d083d2c</t>
  </si>
  <si>
    <t>Тюльпан, L62см, Китай, Красный (30220)</t>
  </si>
  <si>
    <t>https://www.lavrpack.ru/local/templates/phoenix_v1/images_cache/thumbs/e9359727296640d2b87b7bcab6c3193c.webp?v=1790832077</t>
  </si>
  <si>
    <t>a5bed498-03bc-11f0-ab3d-22344d083d2c#c5bf0dd5-03bc-11f0-ab3d-22344d083d2c</t>
  </si>
  <si>
    <t>111609</t>
  </si>
  <si>
    <t>Роза, D15см*L32см, Китай, Белая (ZO231103)</t>
  </si>
  <si>
    <t>https://www.lavrpack.ru/local/templates/phoenix_v1/images_cache/thumbs/14ba218ed6cce327d8119eddf7998085.webp?v=1790832077</t>
  </si>
  <si>
    <t>a5bed498-03bc-11f0-ab3d-22344d083d2c#f7fd461c-03bc-11f0-ab3d-22344d083d2c</t>
  </si>
  <si>
    <t>Роза, D15см*L32см, Китай, Красная (ZO231103)</t>
  </si>
  <si>
    <t>https://www.lavrpack.ru/local/templates/phoenix_v1/images_cache/thumbs/87705aa1f28073856da93c5bd3fac70d.webp?v=1790832077</t>
  </si>
  <si>
    <t>a5bed498-03bc-11f0-ab3d-22344d083d2c#d7dc2896-03bc-11f0-ab3d-22344d083d2c</t>
  </si>
  <si>
    <t>Роза, D15см*L32см, Китай, Светло-розовая (ZO231103)</t>
  </si>
  <si>
    <t>https://www.lavrpack.ru/local/templates/phoenix_v1/images_cache/thumbs/1870bdb8e69d4455d4cae6912e9dd64f.webp?v=1790792811</t>
  </si>
  <si>
    <t>a5bed498-03bc-11f0-ab3d-22344d083d2c#ea7933e7-03bc-11f0-ab3d-22344d083d2c</t>
  </si>
  <si>
    <t>Роза, D15см*L32см, Китай, Розовая (ZO231103)</t>
  </si>
  <si>
    <t>https://www.lavrpack.ru/local/templates/phoenix_v1/images_cache/thumbs/83c1b76ce6db79720fe280e55d557f54.webp?v=1790832077</t>
  </si>
  <si>
    <t>8e80ce57-03be-11f0-ab3d-22344d083d2c#a9cd5f22-03be-11f0-ab3d-22344d083d2c</t>
  </si>
  <si>
    <t>111610</t>
  </si>
  <si>
    <t>Китай, Розовая (30079)</t>
  </si>
  <si>
    <t>Роза D9см×L43см</t>
  </si>
  <si>
    <t>https://www.lavrpack.ru/local/templates/phoenix_v1/images_cache/thumbs/481e8a869f44818229b66e02b9866801.webp?v=1790832077</t>
  </si>
  <si>
    <t>8e80ce57-03be-11f0-ab3d-22344d083d2c#9b67fb39-03be-11f0-ab3d-22344d083d2c</t>
  </si>
  <si>
    <t>Китай, Светло-розовая (30079)</t>
  </si>
  <si>
    <t>https://www.lavrpack.ru/local/templates/phoenix_v1/images_cache/thumbs/38ba5c4284739795b45041d9a3f8ba23.webp?v=1790832077</t>
  </si>
  <si>
    <t>dfd51589-03c0-11f0-ab3d-22344d083d2c#f00c28db-03c0-11f0-ab3d-22344d083d2c</t>
  </si>
  <si>
    <t>111611</t>
  </si>
  <si>
    <t>L52см, Китай, Розовая (30261)</t>
  </si>
  <si>
    <t>Роза, 2 бутона</t>
  </si>
  <si>
    <t>https://www.lavrpack.ru/local/templates/phoenix_v1/images_cache/thumbs/540aac4606fd2adc203bfd741deca6e4.webp?v=1790792811</t>
  </si>
  <si>
    <t>a3f13206-03d3-11f0-ab3d-22344d083d2c#bd056dc1-03d3-11f0-ab3d-22344d083d2c</t>
  </si>
  <si>
    <t>111634</t>
  </si>
  <si>
    <t>L70см, Китай, Молочно-розовый (30326)</t>
  </si>
  <si>
    <t>Роза, 3 бутона</t>
  </si>
  <si>
    <t>https://www.lavrpack.ru/local/templates/phoenix_v1/images_cache/thumbs/71900b921f05d267df8be17acea2aeaf.webp?v=1790832077</t>
  </si>
  <si>
    <t>a3f13206-03d3-11f0-ab3d-22344d083d2c#ad8116d5-03d3-11f0-ab3d-22344d083d2c</t>
  </si>
  <si>
    <t>L70см, Китай, Белый (30326)</t>
  </si>
  <si>
    <t>https://www.lavrpack.ru/local/templates/phoenix_v1/images_cache/thumbs/8103c375a60a7117b2273dea72115b78.webp?v=1790832077</t>
  </si>
  <si>
    <t>a3f13206-03d3-11f0-ab3d-22344d083d2c#d6b98aea-03d3-11f0-ab3d-22344d083d2c</t>
  </si>
  <si>
    <t>L70см, Китай, Красный (30326)</t>
  </si>
  <si>
    <t>https://www.lavrpack.ru/local/templates/phoenix_v1/images_cache/thumbs/acf80dc9a17184749b9c28c080a4a945.webp?v=1790832077</t>
  </si>
  <si>
    <t>a3f13206-03d3-11f0-ab3d-22344d083d2c#ca172d86-03d3-11f0-ab3d-22344d083d2c</t>
  </si>
  <si>
    <t>L70см, Китай, Светло-розовый (30326)</t>
  </si>
  <si>
    <t>https://www.lavrpack.ru/local/templates/phoenix_v1/images_cache/thumbs/caf701cb0f265616f2b9e2e268abdcc3.webp?v=1790792811</t>
  </si>
  <si>
    <t>ab6127c3-7f2c-11ec-b73f-0018e40a3af2</t>
  </si>
  <si>
    <t>53398</t>
  </si>
  <si>
    <t>Эустома 67см</t>
  </si>
  <si>
    <t>https://www.lavrpack.ru/local/templates/phoenix_v1/images_cache/thumbs/e49e2717534909275bb6d5f9b9382d49.webp?v=1790832077</t>
  </si>
  <si>
    <t>7c7ba5fd-6917-11ef-ab51-1cfd08767542#87e6ade3-6917-11ef-ab51-1cfd08767542</t>
  </si>
  <si>
    <t>109259</t>
  </si>
  <si>
    <t>Космея</t>
  </si>
  <si>
    <t>50см,</t>
  </si>
  <si>
    <t>https://www.lavrpack.ru/local/templates/phoenix_v1/images_cache/thumbs/87c56b0349079b5f574fed95b1c009c9.webp?v=1790832077</t>
  </si>
  <si>
    <t>2cc9ec81-6917-11ef-ab51-1cfd08767542#33db8b67-6917-11ef-ab51-1cfd08767542</t>
  </si>
  <si>
    <t>109258</t>
  </si>
  <si>
    <t>Космея, Фиолетовый</t>
  </si>
  <si>
    <t>24ecd6c9-6918-11ef-ab51-1cfd08767542#3d2d4301-6918-11ef-ab51-1cfd08767542</t>
  </si>
  <si>
    <t>109260</t>
  </si>
  <si>
    <t>Крестовник весенний, Голубой</t>
  </si>
  <si>
    <t>https://www.lavrpack.ru/local/templates/phoenix_v1/images_cache/thumbs/70fb9078692db32f3ac3c7238108144f.webp?v=1790832077</t>
  </si>
  <si>
    <t>2685f087-6900-11ef-ab51-1cfd08767542#2c8ee858-6900-11ef-ab51-1cfd08767542</t>
  </si>
  <si>
    <t>109236</t>
  </si>
  <si>
    <t>Орхидея ванда 7 соцветий, Бело-фиолетовый</t>
  </si>
  <si>
    <t>https://www.lavrpack.ru/local/templates/phoenix_v1/images_cache/thumbs/be10289808d8a7c9a3a19f14eb6b2ffd.webp?v=1790832077</t>
  </si>
  <si>
    <t>374e412d-68f3-11ef-ab51-1cfd08767542#40e38a55-68f3-11ef-ab51-1cfd08767542</t>
  </si>
  <si>
    <t>109218</t>
  </si>
  <si>
    <t>Пион искусственный 3 головы h50см, Фиолетовый</t>
  </si>
  <si>
    <t>https://www.lavrpack.ru/local/templates/phoenix_v1/images_cache/thumbs/12133cadcc530f2dcbcfb0182dc40f2a.webp?v=1790792811</t>
  </si>
  <si>
    <t>55086787-6904-11ef-ab51-1cfd08767542#6b411298-6904-11ef-ab51-1cfd08767542</t>
  </si>
  <si>
    <t>109244</t>
  </si>
  <si>
    <t>Пионовидный тюльпан, Желтый</t>
  </si>
  <si>
    <t>https://www.lavrpack.ru/local/templates/phoenix_v1/images_cache/thumbs/57a78417888ddbd0324d3ebebf525769.webp?v=1790832077</t>
  </si>
  <si>
    <t>eeba6411-6919-11ef-ab51-1cfd08767542#137596cc-691a-11ef-ab51-1cfd08767542</t>
  </si>
  <si>
    <t>109266</t>
  </si>
  <si>
    <t>Ранункулюс азиатский Pauline, Оранжевый</t>
  </si>
  <si>
    <t>https://www.lavrpack.ru/local/templates/phoenix_v1/images_cache/thumbs/d83bb2c290910949155b124e54370b63.webp?v=1790832077</t>
  </si>
  <si>
    <t>74c6404f-691b-11ef-ab51-1cfd08767542#8e2bcc93-691b-11ef-ab51-1cfd08767542</t>
  </si>
  <si>
    <t>109269</t>
  </si>
  <si>
    <t>Ранункулюс Клуни, Крупный (Розовый)</t>
  </si>
  <si>
    <t>https://www.lavrpack.ru/local/templates/phoenix_v1/images_cache/thumbs/a3f808745b5c78f2e9821f0f4307e78f.webp?v=1790832077</t>
  </si>
  <si>
    <t>fe8b796a-638e-11ef-ab51-1cfd08767542</t>
  </si>
  <si>
    <t>109066</t>
  </si>
  <si>
    <t>Растение искусственное "Крестовник пепельный" зеленый, H74 см</t>
  </si>
  <si>
    <t>https://www.lavrpack.ru/local/templates/phoenix_v1/images_cache/thumbs/b43ceee2ccf0a34163d96f5616951588.webp?v=1790832077</t>
  </si>
  <si>
    <t>a9fb3446-7f2e-11ec-b73f-0018e40a3af2</t>
  </si>
  <si>
    <t>56196</t>
  </si>
  <si>
    <t>Роза</t>
  </si>
  <si>
    <t>Дэвида Остина Ш+Л R-70/10-SL</t>
  </si>
  <si>
    <t>https://www.lavrpack.ru/local/templates/phoenix_v1/images_cache/thumbs/7a0e46273ad6fdb153a90e12c881ee6e.webp?v=1790832077</t>
  </si>
  <si>
    <t>c36336ab-6900-11ef-ab51-1cfd08767542#e2832b8e-6900-11ef-ab51-1cfd08767542</t>
  </si>
  <si>
    <t>109238</t>
  </si>
  <si>
    <t>Роза Дэвида Остина Пилигрим , Малая (Розовый)</t>
  </si>
  <si>
    <t>https://www.lavrpack.ru/local/templates/phoenix_v1/images_cache/thumbs/7b0800efadfe0969a934550279fd6985.webp?v=1790832077</t>
  </si>
  <si>
    <t>c36336ab-6900-11ef-ab51-1cfd08767542#05d402ff-6901-11ef-ab51-1cfd08767542</t>
  </si>
  <si>
    <t>Роза Дэвида Остина Пилигрим , Средняя (Персиково-розовый)</t>
  </si>
  <si>
    <t>https://www.lavrpack.ru/local/templates/phoenix_v1/images_cache/thumbs/fd755677de3f54f41b938894a2b7c618.webp?v=1790832077</t>
  </si>
  <si>
    <t>c36336ab-6900-11ef-ab51-1cfd08767542#f5f0960b-6900-11ef-ab51-1cfd08767542</t>
  </si>
  <si>
    <t>Роза Дэвида Остина Пилигрим , Средняя (Светло-персиковый)</t>
  </si>
  <si>
    <t>https://www.lavrpack.ru/local/templates/phoenix_v1/images_cache/thumbs/31a800021e2b04f6e18f190b41a2e581.webp?v=1790832077</t>
  </si>
  <si>
    <t>c5f17096-6902-11ef-ab51-1cfd08767542#da0ce769-6902-11ef-ab51-1cfd08767542</t>
  </si>
  <si>
    <t>109241</t>
  </si>
  <si>
    <t>Роза Тиара, Дымчато-лиловый</t>
  </si>
  <si>
    <t>https://www.lavrpack.ru/local/templates/phoenix_v1/images_cache/thumbs/49538bc7dd546abe26fd378cee12cce9.webp?v=1790792811</t>
  </si>
  <si>
    <t>c5f17096-6902-11ef-ab51-1cfd08767542#ccfe44e9-6902-11ef-ab51-1cfd08767542</t>
  </si>
  <si>
    <t>Роза Тиара, Лиловый</t>
  </si>
  <si>
    <t>https://www.lavrpack.ru/local/templates/phoenix_v1/images_cache/thumbs/289e2b8460942417bcdef3ae9fd0d71f.webp?v=1790832077</t>
  </si>
  <si>
    <t>c41c0bec-7f2b-11ec-b73f-0018e40a3af2</t>
  </si>
  <si>
    <t>56203</t>
  </si>
  <si>
    <t>Тюльпан</t>
  </si>
  <si>
    <t>открытый TU-43/5-PVC</t>
  </si>
  <si>
    <t>https://www.lavrpack.ru/local/templates/phoenix_v1/images_cache/thumbs/4997db1b3ac42a42460621035123e4c2.webp?v=1790832077</t>
  </si>
  <si>
    <t>7ff2736d-6903-11ef-ab51-1cfd08767542#7ff273a1-6903-11ef-ab51-1cfd08767542</t>
  </si>
  <si>
    <t>109243</t>
  </si>
  <si>
    <t>Тюльпан лилиецветный, Белый</t>
  </si>
  <si>
    <t>https://www.lavrpack.ru/local/templates/phoenix_v1/images_cache/thumbs/21eed1d6d695da85e972a6b91d67a16e.webp?v=1790832077</t>
  </si>
  <si>
    <t>7ff2736d-6903-11ef-ab51-1cfd08767542#861cc471-6903-11ef-ab51-1cfd08767542</t>
  </si>
  <si>
    <t>Тюльпан лилиецветный, Красный</t>
  </si>
  <si>
    <t>https://www.lavrpack.ru/local/templates/phoenix_v1/images_cache/thumbs/c1326e5da472c4d59851cf7438c21a4b.webp?v=1790832077</t>
  </si>
  <si>
    <t>44f82dbf-6905-11ef-ab51-1cfd08767542#53accf27-6905-11ef-ab51-1cfd08767542</t>
  </si>
  <si>
    <t>109246</t>
  </si>
  <si>
    <t>Тюльпан открытый, Желтый</t>
  </si>
  <si>
    <t>https://www.lavrpack.ru/local/templates/phoenix_v1/images_cache/thumbs/2e3f6d1027e00d32ee941015dec0b32d.webp?v=1790832077</t>
  </si>
  <si>
    <t>44f82dbf-6905-11ef-ab51-1cfd08767542#4c28c4a0-6905-11ef-ab51-1cfd08767542</t>
  </si>
  <si>
    <t>Тюльпан открытый, Оранжевый</t>
  </si>
  <si>
    <t>https://www.lavrpack.ru/local/templates/phoenix_v1/images_cache/thumbs/1b96521d7fdf1269c2bbd181355a4765.webp?v=1790792811</t>
  </si>
  <si>
    <t>4ec69121-68f2-11ef-ab51-1cfd08767542#517469e2-68f8-11ef-ab51-1cfd08767542</t>
  </si>
  <si>
    <t>109215</t>
  </si>
  <si>
    <t>Фрезия искусственная h63см, Розовый</t>
  </si>
  <si>
    <t>https://www.lavrpack.ru/local/templates/phoenix_v1/images_cache/thumbs/5b793afff00089db1711c167e8835b95.webp?v=1790792811</t>
  </si>
  <si>
    <t>a9feec74-6390-11ef-ab51-1cfd08767542</t>
  </si>
  <si>
    <t>109068</t>
  </si>
  <si>
    <t>Цветок искусственный "Агапантус" голубой, H62 см</t>
  </si>
  <si>
    <t>https://www.lavrpack.ru/local/templates/phoenix_v1/images_cache/thumbs/3cfdefe78e0dc5052386e8f198d5d320.webp?v=1790832077</t>
  </si>
  <si>
    <t>7a02b4d6-6391-11ef-ab51-1cfd08767542#ba27008b-6391-11ef-ab51-1cfd08767542</t>
  </si>
  <si>
    <t>109069</t>
  </si>
  <si>
    <t>Цветок искусственный "Астильба", Кремовый (101см)</t>
  </si>
  <si>
    <t>https://www.lavrpack.ru/local/templates/phoenix_v1/images_cache/thumbs/22be29dad86e2705589e5728eaef48af.webp?v=1790832077</t>
  </si>
  <si>
    <t>db9caaa7-6392-11ef-ab51-1cfd08767542</t>
  </si>
  <si>
    <t>109071</t>
  </si>
  <si>
    <t>Цветок искусственный "Банксия" красный, H66 см</t>
  </si>
  <si>
    <t>https://www.lavrpack.ru/local/templates/phoenix_v1/images_cache/thumbs/dad659670dd0f49e023b124b5a32d5ca.webp?v=1790832077</t>
  </si>
  <si>
    <t>7280647c-68fa-11ef-ab51-1cfd08767542#7cfa99a8-68fa-11ef-ab51-1cfd08767542</t>
  </si>
  <si>
    <t>109225</t>
  </si>
  <si>
    <t>Цветок искусственный "Глориоза", Оранжевый (91см)</t>
  </si>
  <si>
    <t>https://www.lavrpack.ru/local/templates/phoenix_v1/images_cache/thumbs/8a8073966c4bccd34bb16709f901f90a.webp?v=1790792811</t>
  </si>
  <si>
    <t>05bb02cf-6397-11ef-ab51-1cfd08767542#16ff429a-6397-11ef-ab51-1cfd08767542</t>
  </si>
  <si>
    <t>109076</t>
  </si>
  <si>
    <t>Цветок искусственный "Гревиллея", Ярко-розовый (73см)</t>
  </si>
  <si>
    <t>https://www.lavrpack.ru/local/templates/phoenix_v1/images_cache/thumbs/aa5a5dc2c1fa9d57dfe2727333021a0e.webp?v=1790832077</t>
  </si>
  <si>
    <t>ceb09d49-6397-11ef-ab51-1cfd08767542#edda476e-6397-11ef-ab51-1cfd08767542</t>
  </si>
  <si>
    <t>109077</t>
  </si>
  <si>
    <t>Цветок искусственный "Клематис", Розовый (78см)</t>
  </si>
  <si>
    <t>https://www.lavrpack.ru/local/templates/phoenix_v1/images_cache/thumbs/1cf3cd78dfb4211d4e218714614f4e7a.webp?v=1790792811</t>
  </si>
  <si>
    <t>ed5f502f-639a-11ef-ab51-1cfd08767542#d97c0e46-639b-11ef-ab51-1cfd08767542</t>
  </si>
  <si>
    <t>109078</t>
  </si>
  <si>
    <t>Цветок искусственный "Колокольчик", Фиолетовый (97см)</t>
  </si>
  <si>
    <t>https://www.lavrpack.ru/local/templates/phoenix_v1/images_cache/thumbs/df3929eefb68ff4370e70f268b462c7b.webp?v=1790792811</t>
  </si>
  <si>
    <t>3fd4774e-639d-11ef-ab51-1cfd08767542#6204f6d6-639d-11ef-ab51-1cfd08767542</t>
  </si>
  <si>
    <t>109080</t>
  </si>
  <si>
    <t>Цветок искусственный "Мак", Коралловый (57см)</t>
  </si>
  <si>
    <t>https://www.lavrpack.ru/local/templates/phoenix_v1/images_cache/thumbs/35e583a6c7e1e4b944f44f5be90cb7a3.webp?v=1790792811</t>
  </si>
  <si>
    <t>8b3dca80-639e-11ef-ab51-1cfd08767542#a1872466-639e-11ef-ab51-1cfd08767542</t>
  </si>
  <si>
    <t>109081</t>
  </si>
  <si>
    <t>Цветок искусственный "Наперстянка", Белый (74см)</t>
  </si>
  <si>
    <t>https://www.lavrpack.ru/local/templates/phoenix_v1/images_cache/thumbs/f31cf4d1813e818b2a5ae34e425d5645.webp?v=1790792811</t>
  </si>
  <si>
    <t>f631da93-639e-11ef-ab51-1cfd08767542#1b884347-639f-11ef-ab51-1cfd08767542</t>
  </si>
  <si>
    <t>109082</t>
  </si>
  <si>
    <t>Цветок искусственный "Пион", Белый (58см)</t>
  </si>
  <si>
    <t>https://www.lavrpack.ru/local/templates/phoenix_v1/images_cache/thumbs/de6f69428338ed38a37956cf21c150da.webp?v=1790792811</t>
  </si>
  <si>
    <t>f95e4d14-639f-11ef-ab51-1cfd08767542#3cd3122e-63a0-11ef-ab51-1cfd08767542</t>
  </si>
  <si>
    <t>109083</t>
  </si>
  <si>
    <t>Цветок искусственный "Ранункулюс", Оранжевый (52см)</t>
  </si>
  <si>
    <t>https://www.lavrpack.ru/local/templates/phoenix_v1/images_cache/thumbs/452dda35f7d2b5beb8069f1f437fd13b.webp?v=1790792811</t>
  </si>
  <si>
    <t>f95e4d14-639f-11ef-ab51-1cfd08767542#1cd7bb5a-63a0-11ef-ab51-1cfd08767542</t>
  </si>
  <si>
    <t>Цветок искусственный "Ранункулюс", Розовый (49см)</t>
  </si>
  <si>
    <t>https://www.lavrpack.ru/local/templates/phoenix_v1/images_cache/thumbs/c76a82728a2b878a9fc91f81fbcf086a.webp?v=1790832077</t>
  </si>
  <si>
    <t>b26577f1-63a0-11ef-ab51-1cfd08767542#4c1314e8-63a1-11ef-ab51-1cfd08767542</t>
  </si>
  <si>
    <t>109084</t>
  </si>
  <si>
    <t>Цветок искусственный "Роза садовая", Кремовый 1 (79см)</t>
  </si>
  <si>
    <t>https://www.lavrpack.ru/local/templates/phoenix_v1/images_cache/thumbs/368b65b14dd864df2f788e089815d7e9.webp?v=1790832077</t>
  </si>
  <si>
    <t>b26577f1-63a0-11ef-ab51-1cfd08767542#5265f367-63a1-11ef-ab51-1cfd08767542</t>
  </si>
  <si>
    <t>Цветок искусственный "Роза садовая", Кремовый 2 (79см)</t>
  </si>
  <si>
    <t>https://www.lavrpack.ru/local/templates/phoenix_v1/images_cache/thumbs/80799588b9d683abf31593f0b0f9e9ed.webp?v=1790792811</t>
  </si>
  <si>
    <t>1821ff72-63a2-11ef-ab51-1cfd08767542#5529661e-63a2-11ef-ab51-1cfd08767542</t>
  </si>
  <si>
    <t>109085</t>
  </si>
  <si>
    <t>Цветок искусственный "Роза", Зеленый (70см)</t>
  </si>
  <si>
    <t>https://www.lavrpack.ru/local/templates/phoenix_v1/images_cache/thumbs/c8d520e3112c1394c5715ca8fdaf9754.webp?v=1790832077</t>
  </si>
  <si>
    <t>1821ff72-63a2-11ef-ab51-1cfd08767542#3687e1d8-63a2-11ef-ab51-1cfd08767542</t>
  </si>
  <si>
    <t>Цветок искусственный "Роза", Оранжевый (70см)</t>
  </si>
  <si>
    <t>https://www.lavrpack.ru/local/templates/phoenix_v1/images_cache/thumbs/626beb394c89c3b49ea5b93d07f0a8f1.webp?v=1790832077</t>
  </si>
  <si>
    <t>1821ff72-63a2-11ef-ab51-1cfd08767542#277d795b-63a2-11ef-ab51-1cfd08767542</t>
  </si>
  <si>
    <t>Цветок искусственный "Роза", Розовый (70см)</t>
  </si>
  <si>
    <t>https://www.lavrpack.ru/local/templates/phoenix_v1/images_cache/thumbs/093e191e6ff52e3db0b5dab31227d21e.webp?v=1790832077</t>
  </si>
  <si>
    <t>1821ff72-63a2-11ef-ab51-1cfd08767542#45734d75-63a2-11ef-ab51-1cfd08767542</t>
  </si>
  <si>
    <t>Цветок искусственный "Роза", Светло-розовый (70см)</t>
  </si>
  <si>
    <t>https://www.lavrpack.ru/local/templates/phoenix_v1/images_cache/thumbs/67646e7bd5583349261bfc16bc585423.webp?v=1790832077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</si>
  <si>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</si>
  <si>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</si>
  <si>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</si>
  <si>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</si>
  <si>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</si>
  <si>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</si>
  <si>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</si>
  <si>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</si>
  <si>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</si>
  <si>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</si>
  <si>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</si>
  <si>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</si>
  <si>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19:40</t>
  </si>
  <si>
    <t>Тип цены: опт</t>
  </si>
  <si>
    <t>Раздел: Декор и аксессуары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</si>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</sst>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40040df5bf5c93f0478bd8fec847bce3.jpg"/><Relationship Id="rId3" Type="http://schemas.openxmlformats.org/officeDocument/2006/relationships/image" Target="../media/e86a92bff0b4e30252edd6c00617b8c9.jpg"/><Relationship Id="rId4" Type="http://schemas.openxmlformats.org/officeDocument/2006/relationships/image" Target="../media/7b5a14c19a74ec4a0d018638b6590cfc.jpg"/><Relationship Id="rId5" Type="http://schemas.openxmlformats.org/officeDocument/2006/relationships/image" Target="../media/c5e4c383f72449aee1463fddc7eea171.jpg"/><Relationship Id="rId6" Type="http://schemas.openxmlformats.org/officeDocument/2006/relationships/image" Target="../media/fe2b06154fc7442fab0d815078da39e7.jpg"/><Relationship Id="rId7" Type="http://schemas.openxmlformats.org/officeDocument/2006/relationships/image" Target="../media/6d5ce3741f087877c8b69ae735716fc9.jpg"/><Relationship Id="rId8" Type="http://schemas.openxmlformats.org/officeDocument/2006/relationships/image" Target="../media/613e1b055bfb7b4b98f1797d1eb75039.jpg"/><Relationship Id="rId9" Type="http://schemas.openxmlformats.org/officeDocument/2006/relationships/image" Target="../media/fc58d568ee89d0b8dfb3d26ee63bd8c8.jpg"/><Relationship Id="rId10" Type="http://schemas.openxmlformats.org/officeDocument/2006/relationships/image" Target="../media/26e68c520797c6724f86b86941be64c1.jpg"/><Relationship Id="rId11" Type="http://schemas.openxmlformats.org/officeDocument/2006/relationships/image" Target="../media/2cb01441908f71c425a486f57392b837.jpg"/><Relationship Id="rId12" Type="http://schemas.openxmlformats.org/officeDocument/2006/relationships/image" Target="../media/e0d1fdb650b3b3832ea3de2600e3fa19.jpg"/><Relationship Id="rId13" Type="http://schemas.openxmlformats.org/officeDocument/2006/relationships/image" Target="../media/040ad02e3cf701a3cd4072fca7c69f34.jpg"/><Relationship Id="rId14" Type="http://schemas.openxmlformats.org/officeDocument/2006/relationships/image" Target="../media/9e163f3ea5591dab98bf287f390f2e7e.jpg"/><Relationship Id="rId15" Type="http://schemas.openxmlformats.org/officeDocument/2006/relationships/image" Target="../media/f4f10edb9620640f4620f0678f5bce67.jpg"/><Relationship Id="rId16" Type="http://schemas.openxmlformats.org/officeDocument/2006/relationships/image" Target="../media/ef0f26f815063dd15baf3617d7483d72.jpg"/><Relationship Id="rId17" Type="http://schemas.openxmlformats.org/officeDocument/2006/relationships/image" Target="../media/82f6e5095efe1dc7bec4befdf3a1e26b.jpg"/><Relationship Id="rId18" Type="http://schemas.openxmlformats.org/officeDocument/2006/relationships/image" Target="../media/1a0addc877d1e3f71c1e971e24120137.jpg"/><Relationship Id="rId19" Type="http://schemas.openxmlformats.org/officeDocument/2006/relationships/image" Target="../media/0b1520e8c41ac5f4db49e0372ffb4d25.jpg"/><Relationship Id="rId20" Type="http://schemas.openxmlformats.org/officeDocument/2006/relationships/image" Target="../media/6d5ce3741f087877c8b69ae735716fc9.jpg"/><Relationship Id="rId21" Type="http://schemas.openxmlformats.org/officeDocument/2006/relationships/image" Target="../media/f4d0fecd2dcd5e5e7aca2c7fac5d5634.jpg"/><Relationship Id="rId22" Type="http://schemas.openxmlformats.org/officeDocument/2006/relationships/image" Target="../media/e0b5126b8f84fd4dd20d9638250d7f45.jpg"/><Relationship Id="rId23" Type="http://schemas.openxmlformats.org/officeDocument/2006/relationships/image" Target="../media/d00b63f3f213a622fad23ef235d16d66.jpg"/><Relationship Id="rId24" Type="http://schemas.openxmlformats.org/officeDocument/2006/relationships/image" Target="../media/7213ae2a383740808f6a400fae944a90.jpg"/><Relationship Id="rId25" Type="http://schemas.openxmlformats.org/officeDocument/2006/relationships/image" Target="../media/70ffba7c02d7d172e62f7a07c9a27272.jpg"/><Relationship Id="rId26" Type="http://schemas.openxmlformats.org/officeDocument/2006/relationships/image" Target="../media/bb0a3a17582834a086a1bb9ebf428bb7.jpg"/><Relationship Id="rId27" Type="http://schemas.openxmlformats.org/officeDocument/2006/relationships/image" Target="../media/3b9ffbddb58afcf8ec882858d4aedcad.jpg"/><Relationship Id="rId28" Type="http://schemas.openxmlformats.org/officeDocument/2006/relationships/image" Target="../media/9f7a57b258c48459a7559e092a9ee5ee.jpg"/><Relationship Id="rId29" Type="http://schemas.openxmlformats.org/officeDocument/2006/relationships/image" Target="../media/99b24ead55216f1d6266ddc19985c949.jpg"/><Relationship Id="rId30" Type="http://schemas.openxmlformats.org/officeDocument/2006/relationships/image" Target="../media/ac792ede9638e6e9953587d83a89310f.jpg"/><Relationship Id="rId31" Type="http://schemas.openxmlformats.org/officeDocument/2006/relationships/image" Target="../media/3fa79c1e8d2d63d5231cb53c3a33424d.jpg"/><Relationship Id="rId32" Type="http://schemas.openxmlformats.org/officeDocument/2006/relationships/image" Target="../media/50dd9ed658d003d407dc2d80c5c0489d.jpg"/><Relationship Id="rId33" Type="http://schemas.openxmlformats.org/officeDocument/2006/relationships/image" Target="../media/bb6244620efeb46f13f7ef9431a57560.jpg"/><Relationship Id="rId34" Type="http://schemas.openxmlformats.org/officeDocument/2006/relationships/image" Target="../media/f5004424851244db64f88ff61c572230.jpg"/><Relationship Id="rId35" Type="http://schemas.openxmlformats.org/officeDocument/2006/relationships/image" Target="../media/82e21e5a0b1548d750be086dd6321168.jpg"/><Relationship Id="rId36" Type="http://schemas.openxmlformats.org/officeDocument/2006/relationships/image" Target="../media/36d6689c64b7273bbfb8df0f3c5682dc.jpg"/><Relationship Id="rId37" Type="http://schemas.openxmlformats.org/officeDocument/2006/relationships/image" Target="../media/061f53b99830a60e4f2588fcdb227f2d.jpg"/><Relationship Id="rId38" Type="http://schemas.openxmlformats.org/officeDocument/2006/relationships/image" Target="../media/31119609082e0a3bf9f70822d4e4ea5d.jpg"/><Relationship Id="rId39" Type="http://schemas.openxmlformats.org/officeDocument/2006/relationships/image" Target="../media/866f01a78fa7570485da62b903754188.jpg"/><Relationship Id="rId40" Type="http://schemas.openxmlformats.org/officeDocument/2006/relationships/image" Target="../media/72ac3c07168c9dee05a8f2ad3cb479dd.jpg"/><Relationship Id="rId41" Type="http://schemas.openxmlformats.org/officeDocument/2006/relationships/image" Target="../media/e142ec6e029a5ded748a673b968abf79.jpg"/><Relationship Id="rId42" Type="http://schemas.openxmlformats.org/officeDocument/2006/relationships/image" Target="../media/b1cf39e94e7fdc2482eda777859d3a7a.jpg"/><Relationship Id="rId43" Type="http://schemas.openxmlformats.org/officeDocument/2006/relationships/image" Target="../media/ed30e4337b7fd9a0ecb9f7aca7b73e7f.jpg"/><Relationship Id="rId44" Type="http://schemas.openxmlformats.org/officeDocument/2006/relationships/image" Target="../media/6cb6b81d70abeac4b91511cc26c55aa1.jpg"/><Relationship Id="rId45" Type="http://schemas.openxmlformats.org/officeDocument/2006/relationships/image" Target="../media/92f541f6ae05036cc2415f289b762c52.jpg"/><Relationship Id="rId46" Type="http://schemas.openxmlformats.org/officeDocument/2006/relationships/image" Target="../media/8706871b3b25cda1a81f70534cb072d3.jpg"/><Relationship Id="rId47" Type="http://schemas.openxmlformats.org/officeDocument/2006/relationships/image" Target="../media/787e125da7a3d10096429f7b4e2105ab.jpg"/><Relationship Id="rId48" Type="http://schemas.openxmlformats.org/officeDocument/2006/relationships/image" Target="../media/3352f50b5505c1e5bf36ec038285f9f6.jpg"/><Relationship Id="rId49" Type="http://schemas.openxmlformats.org/officeDocument/2006/relationships/image" Target="../media/23750dda4bfae4bbba8f79df7ce85457.jpg"/><Relationship Id="rId50" Type="http://schemas.openxmlformats.org/officeDocument/2006/relationships/image" Target="../media/b2027ccc519f6c24b68fbdffa2e868c2.jpg"/><Relationship Id="rId51" Type="http://schemas.openxmlformats.org/officeDocument/2006/relationships/image" Target="../media/d0d559eca7d8cf23fd738b9449487ba5.jpg"/><Relationship Id="rId52" Type="http://schemas.openxmlformats.org/officeDocument/2006/relationships/image" Target="../media/02c073568d625b429796528f15223605.jpg"/><Relationship Id="rId53" Type="http://schemas.openxmlformats.org/officeDocument/2006/relationships/image" Target="../media/5391eda72894ac18bf8644ab1d25b566.jpg"/><Relationship Id="rId54" Type="http://schemas.openxmlformats.org/officeDocument/2006/relationships/image" Target="../media/561cba6c110dd845331e58b57f56b5ce.jpg"/><Relationship Id="rId55" Type="http://schemas.openxmlformats.org/officeDocument/2006/relationships/image" Target="../media/bf6872e6aab135e4275dd1e908fbedb1.jpg"/><Relationship Id="rId56" Type="http://schemas.openxmlformats.org/officeDocument/2006/relationships/image" Target="../media/a122dbef4deec27412d3f9f47b4c0db5.jpg"/><Relationship Id="rId57" Type="http://schemas.openxmlformats.org/officeDocument/2006/relationships/image" Target="../media/8681481b7d7a8b5482ae0cbf1405c87b.jpg"/><Relationship Id="rId58" Type="http://schemas.openxmlformats.org/officeDocument/2006/relationships/image" Target="../media/59c96267292f9b5395b0d29296a30001.jpg"/><Relationship Id="rId59" Type="http://schemas.openxmlformats.org/officeDocument/2006/relationships/image" Target="../media/f92db6586984c6afc2fea2a9dc452d53.jpg"/><Relationship Id="rId60" Type="http://schemas.openxmlformats.org/officeDocument/2006/relationships/image" Target="../media/6f2219d8190ac71f72556e3e7f33e1e1.jpg"/><Relationship Id="rId61" Type="http://schemas.openxmlformats.org/officeDocument/2006/relationships/image" Target="../media/0a3dbcd5e4cb4a27351fb4fc5ff0e1b8.jpg"/><Relationship Id="rId62" Type="http://schemas.openxmlformats.org/officeDocument/2006/relationships/image" Target="../media/a78610982be06f746a002c991eaac0a2.jpg"/><Relationship Id="rId63" Type="http://schemas.openxmlformats.org/officeDocument/2006/relationships/image" Target="../media/09abeb034584dd5f90ed5cc64b7bfec4.jpg"/><Relationship Id="rId64" Type="http://schemas.openxmlformats.org/officeDocument/2006/relationships/image" Target="../media/83b495037f11852802bf7c7d4ae78023.jpg"/><Relationship Id="rId65" Type="http://schemas.openxmlformats.org/officeDocument/2006/relationships/image" Target="../media/b9423855b50248f37b0c88c4a3fcd3af.jpg"/><Relationship Id="rId66" Type="http://schemas.openxmlformats.org/officeDocument/2006/relationships/image" Target="../media/b25d4ce46009d61e32f8479b67b116ab.jpg"/><Relationship Id="rId67" Type="http://schemas.openxmlformats.org/officeDocument/2006/relationships/image" Target="../media/4be89b42b74f940deccc6d8e89ee0251.jpg"/><Relationship Id="rId68" Type="http://schemas.openxmlformats.org/officeDocument/2006/relationships/image" Target="../media/c3cb3ec2f1806671cb1ef3be89af33de.jpg"/><Relationship Id="rId69" Type="http://schemas.openxmlformats.org/officeDocument/2006/relationships/image" Target="../media/ae54661f7731ec6d3a25814ac7622fa3.jpg"/><Relationship Id="rId70" Type="http://schemas.openxmlformats.org/officeDocument/2006/relationships/image" Target="../media/c4fc069cde8452c3bc11b8188b90b3cd.jpg"/><Relationship Id="rId71" Type="http://schemas.openxmlformats.org/officeDocument/2006/relationships/image" Target="../media/76b015c2ca1cd9c90e37b04feda2fbf8.jpg"/><Relationship Id="rId72" Type="http://schemas.openxmlformats.org/officeDocument/2006/relationships/image" Target="../media/0a7d9aa19c25ef2d246d7ee54efa1aaa.jpg"/><Relationship Id="rId73" Type="http://schemas.openxmlformats.org/officeDocument/2006/relationships/image" Target="../media/0a1d457953def07c9591a8c09d1606a7.jpg"/><Relationship Id="rId74" Type="http://schemas.openxmlformats.org/officeDocument/2006/relationships/image" Target="../media/624d490d85218c3043e5478395fc167e.jpg"/><Relationship Id="rId75" Type="http://schemas.openxmlformats.org/officeDocument/2006/relationships/image" Target="../media/9623bd49486a80dd8e56997b81d01483.jpg"/><Relationship Id="rId76" Type="http://schemas.openxmlformats.org/officeDocument/2006/relationships/image" Target="../media/002714e3408b9dac2b8d3ace37d782ee.jpg"/><Relationship Id="rId77" Type="http://schemas.openxmlformats.org/officeDocument/2006/relationships/image" Target="../media/7cb51755873349473430f4a09ca77a79.jpg"/><Relationship Id="rId78" Type="http://schemas.openxmlformats.org/officeDocument/2006/relationships/image" Target="../media/ef5241dcf971dd24d224f2186603acfe.jpg"/><Relationship Id="rId79" Type="http://schemas.openxmlformats.org/officeDocument/2006/relationships/image" Target="../media/efb8f57067d43bc61d429eee5de53b91.jpg"/><Relationship Id="rId80" Type="http://schemas.openxmlformats.org/officeDocument/2006/relationships/image" Target="../media/58f1952516bdb7546ced77b4d3717265.jpg"/><Relationship Id="rId81" Type="http://schemas.openxmlformats.org/officeDocument/2006/relationships/image" Target="../media/367df2ffc01f2d62b5e9cad6903d4fe1.jpg"/><Relationship Id="rId82" Type="http://schemas.openxmlformats.org/officeDocument/2006/relationships/image" Target="../media/8810d830d7fc79bf690296aa5299a831.jpg"/><Relationship Id="rId83" Type="http://schemas.openxmlformats.org/officeDocument/2006/relationships/image" Target="../media/758799682715e322a75b55b8356ddc1b.jpg"/><Relationship Id="rId84" Type="http://schemas.openxmlformats.org/officeDocument/2006/relationships/image" Target="../media/bed5765cbd8d2c1de77977e1729611ef.jpg"/><Relationship Id="rId85" Type="http://schemas.openxmlformats.org/officeDocument/2006/relationships/image" Target="../media/32b7c7b42c403cd49bd2b29c69ee5e0e.jpg"/><Relationship Id="rId86" Type="http://schemas.openxmlformats.org/officeDocument/2006/relationships/image" Target="../media/99bd4b539beb5109c38c73887da5ce76.jpg"/><Relationship Id="rId87" Type="http://schemas.openxmlformats.org/officeDocument/2006/relationships/image" Target="../media/24be759381c3a5cb56bdf8bbbe691e7d.jpg"/><Relationship Id="rId88" Type="http://schemas.openxmlformats.org/officeDocument/2006/relationships/image" Target="../media/6ebb718b0549dc346eb7500e930a1f64.jpg"/><Relationship Id="rId89" Type="http://schemas.openxmlformats.org/officeDocument/2006/relationships/image" Target="../media/3dd9c9aaf300a57ad36a0a94b3af3449.jpg"/><Relationship Id="rId90" Type="http://schemas.openxmlformats.org/officeDocument/2006/relationships/image" Target="../media/c81a6cae69b326701311d7f5e93f5996.jpg"/><Relationship Id="rId91" Type="http://schemas.openxmlformats.org/officeDocument/2006/relationships/image" Target="../media/111b5ebe66de8945a5a9370315326131.jpg"/><Relationship Id="rId92" Type="http://schemas.openxmlformats.org/officeDocument/2006/relationships/image" Target="../media/b9de7113168bd5a41285a84786028d17.jpg"/><Relationship Id="rId93" Type="http://schemas.openxmlformats.org/officeDocument/2006/relationships/image" Target="../media/24ce4c2223e7c7c7153274c636e5b920.jpg"/><Relationship Id="rId94" Type="http://schemas.openxmlformats.org/officeDocument/2006/relationships/image" Target="../media/8a1d6057036ffd72733be5e6848f9808.jpg"/><Relationship Id="rId95" Type="http://schemas.openxmlformats.org/officeDocument/2006/relationships/image" Target="../media/5d6b900ca72a2cdb421bf9754e444a6f.jpg"/><Relationship Id="rId96" Type="http://schemas.openxmlformats.org/officeDocument/2006/relationships/image" Target="../media/895927581abed15a945ac84454209ef6.jpg"/><Relationship Id="rId97" Type="http://schemas.openxmlformats.org/officeDocument/2006/relationships/image" Target="../media/eaadb1ab20d69e5a4fa03e4de2f90764.jpg"/><Relationship Id="rId98" Type="http://schemas.openxmlformats.org/officeDocument/2006/relationships/image" Target="../media/1009ad087f5f2a4ca00cddb07e1d78dd.jpg"/><Relationship Id="rId99" Type="http://schemas.openxmlformats.org/officeDocument/2006/relationships/image" Target="../media/67bcab278c3ea3457a7c28521114d81e.jpg"/><Relationship Id="rId100" Type="http://schemas.openxmlformats.org/officeDocument/2006/relationships/image" Target="../media/b28609f3b6a3bbd027a8145d725497d7.jpg"/><Relationship Id="rId101" Type="http://schemas.openxmlformats.org/officeDocument/2006/relationships/image" Target="../media/c90243c1d61502c3a137024e879a6102.jpg"/><Relationship Id="rId102" Type="http://schemas.openxmlformats.org/officeDocument/2006/relationships/image" Target="../media/f3673738cf845b6c6976777a28a961b3.jpg"/><Relationship Id="rId103" Type="http://schemas.openxmlformats.org/officeDocument/2006/relationships/image" Target="../media/6d5ce3741f087877c8b69ae735716fc9.jpg"/><Relationship Id="rId104" Type="http://schemas.openxmlformats.org/officeDocument/2006/relationships/image" Target="../media/d5c04d1ee1ff03eb96ebac40d018eaaf.jpg"/><Relationship Id="rId105" Type="http://schemas.openxmlformats.org/officeDocument/2006/relationships/image" Target="../media/657ed9215b1baa7f0484ac169aa93f1c.jpg"/><Relationship Id="rId106" Type="http://schemas.openxmlformats.org/officeDocument/2006/relationships/image" Target="../media/54ca15090945866e2f6e63f17b746c20.jpg"/><Relationship Id="rId107" Type="http://schemas.openxmlformats.org/officeDocument/2006/relationships/image" Target="../media/cdbb57f8a2707742b316466b8247a860.jpg"/><Relationship Id="rId108" Type="http://schemas.openxmlformats.org/officeDocument/2006/relationships/image" Target="../media/987b5352d970ce8d5c2ad84d64391c13.jpg"/><Relationship Id="rId109" Type="http://schemas.openxmlformats.org/officeDocument/2006/relationships/image" Target="../media/1c334d42258a26048978ae171e868595.jpg"/><Relationship Id="rId110" Type="http://schemas.openxmlformats.org/officeDocument/2006/relationships/image" Target="../media/e7c919a20c7b40dc105fc483a7aa0270.jpg"/><Relationship Id="rId111" Type="http://schemas.openxmlformats.org/officeDocument/2006/relationships/image" Target="../media/cf5afaadd7b9737333c5e19d0327081d.jpg"/><Relationship Id="rId112" Type="http://schemas.openxmlformats.org/officeDocument/2006/relationships/image" Target="../media/a0d94dd22437808d3d4afa8d25d6548c.jpg"/><Relationship Id="rId113" Type="http://schemas.openxmlformats.org/officeDocument/2006/relationships/image" Target="../media/5c848b2eec512967b24096880aa1e097.jpg"/><Relationship Id="rId114" Type="http://schemas.openxmlformats.org/officeDocument/2006/relationships/image" Target="../media/785de9e35d02b9d448d0474812cd6db3.jpg"/><Relationship Id="rId115" Type="http://schemas.openxmlformats.org/officeDocument/2006/relationships/image" Target="../media/532278a9c14b020b07cf989003fd8ef8.jpg"/><Relationship Id="rId116" Type="http://schemas.openxmlformats.org/officeDocument/2006/relationships/image" Target="../media/55144e200a754754fb44b72c6c8027d9.jpg"/><Relationship Id="rId117" Type="http://schemas.openxmlformats.org/officeDocument/2006/relationships/image" Target="../media/7a561e60a73b9df4eee8ad07862a66ae.jpg"/><Relationship Id="rId118" Type="http://schemas.openxmlformats.org/officeDocument/2006/relationships/image" Target="../media/09b7f0cae0248cd171ddb8f726ba477e.jpg"/><Relationship Id="rId119" Type="http://schemas.openxmlformats.org/officeDocument/2006/relationships/image" Target="../media/484c6d14997aae265f84bb78c8673a8d.jpg"/><Relationship Id="rId120" Type="http://schemas.openxmlformats.org/officeDocument/2006/relationships/image" Target="../media/4850610257eef0138b98b8bc1c4434e6.jpg"/><Relationship Id="rId121" Type="http://schemas.openxmlformats.org/officeDocument/2006/relationships/image" Target="../media/560a28b7ead391a9e2aa7d658660b759.jpg"/><Relationship Id="rId122" Type="http://schemas.openxmlformats.org/officeDocument/2006/relationships/image" Target="../media/cd49189dc2d114d67dfb460344b618d5.jpg"/><Relationship Id="rId123" Type="http://schemas.openxmlformats.org/officeDocument/2006/relationships/image" Target="../media/9810a4adf0f2fde6083db735e1907deb.jpg"/><Relationship Id="rId124" Type="http://schemas.openxmlformats.org/officeDocument/2006/relationships/image" Target="../media/eeff340140788f4aea59d3f3f04f01d0.jpg"/><Relationship Id="rId125" Type="http://schemas.openxmlformats.org/officeDocument/2006/relationships/image" Target="../media/1bfbaf4e2d7f78da3b374d24976ff5b6.jpg"/><Relationship Id="rId126" Type="http://schemas.openxmlformats.org/officeDocument/2006/relationships/image" Target="../media/19011fafcb137774fc59612fc4235f69.jpg"/><Relationship Id="rId127" Type="http://schemas.openxmlformats.org/officeDocument/2006/relationships/image" Target="../media/80c4b03114ecbea472ef6299884c514d.jpg"/><Relationship Id="rId128" Type="http://schemas.openxmlformats.org/officeDocument/2006/relationships/image" Target="../media/c6784085c3eaa352c977d5e8dfe0c97e.jpg"/><Relationship Id="rId129" Type="http://schemas.openxmlformats.org/officeDocument/2006/relationships/image" Target="../media/96d397d040f07272a6339840be995fc9.jpg"/><Relationship Id="rId130" Type="http://schemas.openxmlformats.org/officeDocument/2006/relationships/image" Target="../media/c300cac7ad0c30573a29167e143cc900.jpg"/><Relationship Id="rId131" Type="http://schemas.openxmlformats.org/officeDocument/2006/relationships/image" Target="../media/be9a212d9c3436ad648d4ec62ef34729.jpg"/><Relationship Id="rId132" Type="http://schemas.openxmlformats.org/officeDocument/2006/relationships/image" Target="../media/35d9295008b96626b6588ef6cb5c0fca.jpg"/><Relationship Id="rId133" Type="http://schemas.openxmlformats.org/officeDocument/2006/relationships/image" Target="../media/ad101a0f66eeadaa378728c98a928769.jpg"/><Relationship Id="rId134" Type="http://schemas.openxmlformats.org/officeDocument/2006/relationships/image" Target="../media/9ebf672dc6d3290e619455abeba285af.jpg"/><Relationship Id="rId135" Type="http://schemas.openxmlformats.org/officeDocument/2006/relationships/image" Target="../media/fbf28bf2216de9d7c80cd5950fd00e20.jpg"/><Relationship Id="rId136" Type="http://schemas.openxmlformats.org/officeDocument/2006/relationships/image" Target="../media/c31ea02d50bd3a9cd0b48008ab47e2fc.jpg"/><Relationship Id="rId137" Type="http://schemas.openxmlformats.org/officeDocument/2006/relationships/image" Target="../media/0759c1b91eb765f9d12415017094de15.jpg"/><Relationship Id="rId138" Type="http://schemas.openxmlformats.org/officeDocument/2006/relationships/image" Target="../media/a4a2f7c7654516e923be004e9012e68d.jpg"/><Relationship Id="rId139" Type="http://schemas.openxmlformats.org/officeDocument/2006/relationships/image" Target="../media/805ed7f35a2254e716f490540a1673cc.jpg"/><Relationship Id="rId140" Type="http://schemas.openxmlformats.org/officeDocument/2006/relationships/image" Target="../media/d38f9c621f7356a56c236e23c0976481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76200</xdr:rowOff>
    </xdr:from>
    <xdr:ext cx="647700" cy="5715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133350</xdr:rowOff>
    </xdr:from>
    <xdr:ext cx="647700" cy="4572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38100</xdr:rowOff>
    </xdr:from>
    <xdr:ext cx="647700" cy="647700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38100</xdr:rowOff>
    </xdr:from>
    <xdr:ext cx="647700" cy="64770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38100</xdr:rowOff>
    </xdr:from>
    <xdr:ext cx="647700" cy="6477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38100</xdr:rowOff>
    </xdr:from>
    <xdr:ext cx="647700" cy="64770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38100</xdr:rowOff>
    </xdr:from>
    <xdr:ext cx="647700" cy="647700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38100</xdr:rowOff>
    </xdr:from>
    <xdr:ext cx="647700" cy="647700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38100</xdr:rowOff>
    </xdr:from>
    <xdr:ext cx="647700" cy="647700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38100</xdr:rowOff>
    </xdr:from>
    <xdr:ext cx="647700" cy="647700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38100</xdr:rowOff>
    </xdr:from>
    <xdr:ext cx="647700" cy="647700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38100</xdr:rowOff>
    </xdr:from>
    <xdr:ext cx="647700" cy="647700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38100</xdr:rowOff>
    </xdr:from>
    <xdr:ext cx="647700" cy="647700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38100</xdr:rowOff>
    </xdr:from>
    <xdr:ext cx="647700" cy="647700"/>
    <xdr:pic>
      <xdr:nvPicPr>
        <xdr:cNvPr id="62" name="photo_6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38100</xdr:rowOff>
    </xdr:from>
    <xdr:ext cx="647700" cy="647700"/>
    <xdr:pic>
      <xdr:nvPicPr>
        <xdr:cNvPr id="63" name="photo_69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38100</xdr:rowOff>
    </xdr:from>
    <xdr:ext cx="647700" cy="647700"/>
    <xdr:pic>
      <xdr:nvPicPr>
        <xdr:cNvPr id="64" name="photo_70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5" name="photo_71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6" name="photo_72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</xdr:row>
      <xdr:rowOff>38100</xdr:rowOff>
    </xdr:from>
    <xdr:ext cx="647700" cy="647700"/>
    <xdr:pic>
      <xdr:nvPicPr>
        <xdr:cNvPr id="67" name="photo_7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</xdr:row>
      <xdr:rowOff>38100</xdr:rowOff>
    </xdr:from>
    <xdr:ext cx="647700" cy="647700"/>
    <xdr:pic>
      <xdr:nvPicPr>
        <xdr:cNvPr id="68" name="photo_74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</xdr:row>
      <xdr:rowOff>38100</xdr:rowOff>
    </xdr:from>
    <xdr:ext cx="647700" cy="647700"/>
    <xdr:pic>
      <xdr:nvPicPr>
        <xdr:cNvPr id="69" name="photo_75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</xdr:row>
      <xdr:rowOff>38100</xdr:rowOff>
    </xdr:from>
    <xdr:ext cx="647700" cy="647700"/>
    <xdr:pic>
      <xdr:nvPicPr>
        <xdr:cNvPr id="70" name="photo_76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</xdr:row>
      <xdr:rowOff>38100</xdr:rowOff>
    </xdr:from>
    <xdr:ext cx="647700" cy="647700"/>
    <xdr:pic>
      <xdr:nvPicPr>
        <xdr:cNvPr id="71" name="photo_77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</xdr:row>
      <xdr:rowOff>38100</xdr:rowOff>
    </xdr:from>
    <xdr:ext cx="647700" cy="647700"/>
    <xdr:pic>
      <xdr:nvPicPr>
        <xdr:cNvPr id="72" name="photo_78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78</xdr:row>
      <xdr:rowOff>38100</xdr:rowOff>
    </xdr:from>
    <xdr:ext cx="647700" cy="647700"/>
    <xdr:pic>
      <xdr:nvPicPr>
        <xdr:cNvPr id="73" name="photo_79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79</xdr:row>
      <xdr:rowOff>38100</xdr:rowOff>
    </xdr:from>
    <xdr:ext cx="647700" cy="647700"/>
    <xdr:pic>
      <xdr:nvPicPr>
        <xdr:cNvPr id="74" name="photo_80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80</xdr:row>
      <xdr:rowOff>38100</xdr:rowOff>
    </xdr:from>
    <xdr:ext cx="647700" cy="647700"/>
    <xdr:pic>
      <xdr:nvPicPr>
        <xdr:cNvPr id="75" name="photo_81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81</xdr:row>
      <xdr:rowOff>38100</xdr:rowOff>
    </xdr:from>
    <xdr:ext cx="647700" cy="647700"/>
    <xdr:pic>
      <xdr:nvPicPr>
        <xdr:cNvPr id="76" name="photo_82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82</xdr:row>
      <xdr:rowOff>38100</xdr:rowOff>
    </xdr:from>
    <xdr:ext cx="647700" cy="647700"/>
    <xdr:pic>
      <xdr:nvPicPr>
        <xdr:cNvPr id="77" name="photo_83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83</xdr:row>
      <xdr:rowOff>38100</xdr:rowOff>
    </xdr:from>
    <xdr:ext cx="647700" cy="647700"/>
    <xdr:pic>
      <xdr:nvPicPr>
        <xdr:cNvPr id="78" name="photo_84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84</xdr:row>
      <xdr:rowOff>38100</xdr:rowOff>
    </xdr:from>
    <xdr:ext cx="647700" cy="647700"/>
    <xdr:pic>
      <xdr:nvPicPr>
        <xdr:cNvPr id="79" name="photo_85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85</xdr:row>
      <xdr:rowOff>38100</xdr:rowOff>
    </xdr:from>
    <xdr:ext cx="647700" cy="647700"/>
    <xdr:pic>
      <xdr:nvPicPr>
        <xdr:cNvPr id="80" name="photo_86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86</xdr:row>
      <xdr:rowOff>38100</xdr:rowOff>
    </xdr:from>
    <xdr:ext cx="647700" cy="647700"/>
    <xdr:pic>
      <xdr:nvPicPr>
        <xdr:cNvPr id="81" name="photo_87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87</xdr:row>
      <xdr:rowOff>38100</xdr:rowOff>
    </xdr:from>
    <xdr:ext cx="647700" cy="647700"/>
    <xdr:pic>
      <xdr:nvPicPr>
        <xdr:cNvPr id="82" name="photo_88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88</xdr:row>
      <xdr:rowOff>38100</xdr:rowOff>
    </xdr:from>
    <xdr:ext cx="647700" cy="647700"/>
    <xdr:pic>
      <xdr:nvPicPr>
        <xdr:cNvPr id="83" name="photo_89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89</xdr:row>
      <xdr:rowOff>38100</xdr:rowOff>
    </xdr:from>
    <xdr:ext cx="647700" cy="647700"/>
    <xdr:pic>
      <xdr:nvPicPr>
        <xdr:cNvPr id="84" name="photo_90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90</xdr:row>
      <xdr:rowOff>38100</xdr:rowOff>
    </xdr:from>
    <xdr:ext cx="647700" cy="647700"/>
    <xdr:pic>
      <xdr:nvPicPr>
        <xdr:cNvPr id="85" name="photo_91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91</xdr:row>
      <xdr:rowOff>38100</xdr:rowOff>
    </xdr:from>
    <xdr:ext cx="647700" cy="647700"/>
    <xdr:pic>
      <xdr:nvPicPr>
        <xdr:cNvPr id="86" name="photo_92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92</xdr:row>
      <xdr:rowOff>38100</xdr:rowOff>
    </xdr:from>
    <xdr:ext cx="647700" cy="647700"/>
    <xdr:pic>
      <xdr:nvPicPr>
        <xdr:cNvPr id="87" name="photo_93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93</xdr:row>
      <xdr:rowOff>38100</xdr:rowOff>
    </xdr:from>
    <xdr:ext cx="647700" cy="647700"/>
    <xdr:pic>
      <xdr:nvPicPr>
        <xdr:cNvPr id="88" name="photo_94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94</xdr:row>
      <xdr:rowOff>38100</xdr:rowOff>
    </xdr:from>
    <xdr:ext cx="647700" cy="647700"/>
    <xdr:pic>
      <xdr:nvPicPr>
        <xdr:cNvPr id="89" name="photo_95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95</xdr:row>
      <xdr:rowOff>38100</xdr:rowOff>
    </xdr:from>
    <xdr:ext cx="647700" cy="647700"/>
    <xdr:pic>
      <xdr:nvPicPr>
        <xdr:cNvPr id="90" name="photo_96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96</xdr:row>
      <xdr:rowOff>38100</xdr:rowOff>
    </xdr:from>
    <xdr:ext cx="647700" cy="647700"/>
    <xdr:pic>
      <xdr:nvPicPr>
        <xdr:cNvPr id="91" name="photo_97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97</xdr:row>
      <xdr:rowOff>38100</xdr:rowOff>
    </xdr:from>
    <xdr:ext cx="647700" cy="647700"/>
    <xdr:pic>
      <xdr:nvPicPr>
        <xdr:cNvPr id="92" name="photo_98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98</xdr:row>
      <xdr:rowOff>38100</xdr:rowOff>
    </xdr:from>
    <xdr:ext cx="647700" cy="647700"/>
    <xdr:pic>
      <xdr:nvPicPr>
        <xdr:cNvPr id="93" name="photo_99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99</xdr:row>
      <xdr:rowOff>38100</xdr:rowOff>
    </xdr:from>
    <xdr:ext cx="647700" cy="647700"/>
    <xdr:pic>
      <xdr:nvPicPr>
        <xdr:cNvPr id="94" name="photo_100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100</xdr:row>
      <xdr:rowOff>38100</xdr:rowOff>
    </xdr:from>
    <xdr:ext cx="647700" cy="647700"/>
    <xdr:pic>
      <xdr:nvPicPr>
        <xdr:cNvPr id="95" name="photo_101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101</xdr:row>
      <xdr:rowOff>38100</xdr:rowOff>
    </xdr:from>
    <xdr:ext cx="647700" cy="647700"/>
    <xdr:pic>
      <xdr:nvPicPr>
        <xdr:cNvPr id="96" name="photo_102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102</xdr:row>
      <xdr:rowOff>38100</xdr:rowOff>
    </xdr:from>
    <xdr:ext cx="647700" cy="647700"/>
    <xdr:pic>
      <xdr:nvPicPr>
        <xdr:cNvPr id="97" name="photo_103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103</xdr:row>
      <xdr:rowOff>38100</xdr:rowOff>
    </xdr:from>
    <xdr:ext cx="647700" cy="647700"/>
    <xdr:pic>
      <xdr:nvPicPr>
        <xdr:cNvPr id="98" name="photo_104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104</xdr:row>
      <xdr:rowOff>38100</xdr:rowOff>
    </xdr:from>
    <xdr:ext cx="647700" cy="647700"/>
    <xdr:pic>
      <xdr:nvPicPr>
        <xdr:cNvPr id="99" name="photo_105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105</xdr:row>
      <xdr:rowOff>38100</xdr:rowOff>
    </xdr:from>
    <xdr:ext cx="647700" cy="647700"/>
    <xdr:pic>
      <xdr:nvPicPr>
        <xdr:cNvPr id="100" name="photo_106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106</xdr:row>
      <xdr:rowOff>38100</xdr:rowOff>
    </xdr:from>
    <xdr:ext cx="647700" cy="647700"/>
    <xdr:pic>
      <xdr:nvPicPr>
        <xdr:cNvPr id="101" name="photo_107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107</xdr:row>
      <xdr:rowOff>38100</xdr:rowOff>
    </xdr:from>
    <xdr:ext cx="647700" cy="647700"/>
    <xdr:pic>
      <xdr:nvPicPr>
        <xdr:cNvPr id="102" name="photo_108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108</xdr:row>
      <xdr:rowOff>38100</xdr:rowOff>
    </xdr:from>
    <xdr:ext cx="647700" cy="647700"/>
    <xdr:pic>
      <xdr:nvPicPr>
        <xdr:cNvPr id="103" name="photo_109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109</xdr:row>
      <xdr:rowOff>38100</xdr:rowOff>
    </xdr:from>
    <xdr:ext cx="647700" cy="647700"/>
    <xdr:pic>
      <xdr:nvPicPr>
        <xdr:cNvPr id="104" name="photo_110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110</xdr:row>
      <xdr:rowOff>38100</xdr:rowOff>
    </xdr:from>
    <xdr:ext cx="647700" cy="647700"/>
    <xdr:pic>
      <xdr:nvPicPr>
        <xdr:cNvPr id="105" name="photo_111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111</xdr:row>
      <xdr:rowOff>38100</xdr:rowOff>
    </xdr:from>
    <xdr:ext cx="647700" cy="647700"/>
    <xdr:pic>
      <xdr:nvPicPr>
        <xdr:cNvPr id="106" name="photo_112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112</xdr:row>
      <xdr:rowOff>38100</xdr:rowOff>
    </xdr:from>
    <xdr:ext cx="647700" cy="647700"/>
    <xdr:pic>
      <xdr:nvPicPr>
        <xdr:cNvPr id="107" name="photo_113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113</xdr:row>
      <xdr:rowOff>38100</xdr:rowOff>
    </xdr:from>
    <xdr:ext cx="647700" cy="647700"/>
    <xdr:pic>
      <xdr:nvPicPr>
        <xdr:cNvPr id="108" name="photo_114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114</xdr:row>
      <xdr:rowOff>38100</xdr:rowOff>
    </xdr:from>
    <xdr:ext cx="647700" cy="647700"/>
    <xdr:pic>
      <xdr:nvPicPr>
        <xdr:cNvPr id="109" name="photo_115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115</xdr:row>
      <xdr:rowOff>38100</xdr:rowOff>
    </xdr:from>
    <xdr:ext cx="647700" cy="647700"/>
    <xdr:pic>
      <xdr:nvPicPr>
        <xdr:cNvPr id="110" name="photo_116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116</xdr:row>
      <xdr:rowOff>133350</xdr:rowOff>
    </xdr:from>
    <xdr:ext cx="647700" cy="457200"/>
    <xdr:pic>
      <xdr:nvPicPr>
        <xdr:cNvPr id="111" name="photo_117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117</xdr:row>
      <xdr:rowOff>38100</xdr:rowOff>
    </xdr:from>
    <xdr:ext cx="647700" cy="647700"/>
    <xdr:pic>
      <xdr:nvPicPr>
        <xdr:cNvPr id="112" name="photo_118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118</xdr:row>
      <xdr:rowOff>38100</xdr:rowOff>
    </xdr:from>
    <xdr:ext cx="647700" cy="647700"/>
    <xdr:pic>
      <xdr:nvPicPr>
        <xdr:cNvPr id="113" name="photo_119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119</xdr:row>
      <xdr:rowOff>38100</xdr:rowOff>
    </xdr:from>
    <xdr:ext cx="647700" cy="647700"/>
    <xdr:pic>
      <xdr:nvPicPr>
        <xdr:cNvPr id="114" name="photo_120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120</xdr:row>
      <xdr:rowOff>38100</xdr:rowOff>
    </xdr:from>
    <xdr:ext cx="647700" cy="647700"/>
    <xdr:pic>
      <xdr:nvPicPr>
        <xdr:cNvPr id="115" name="photo_121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121</xdr:row>
      <xdr:rowOff>38100</xdr:rowOff>
    </xdr:from>
    <xdr:ext cx="647700" cy="647700"/>
    <xdr:pic>
      <xdr:nvPicPr>
        <xdr:cNvPr id="116" name="photo_122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122</xdr:row>
      <xdr:rowOff>133350</xdr:rowOff>
    </xdr:from>
    <xdr:ext cx="647700" cy="457200"/>
    <xdr:pic>
      <xdr:nvPicPr>
        <xdr:cNvPr id="117" name="photo_123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123</xdr:row>
      <xdr:rowOff>38100</xdr:rowOff>
    </xdr:from>
    <xdr:ext cx="647700" cy="647700"/>
    <xdr:pic>
      <xdr:nvPicPr>
        <xdr:cNvPr id="118" name="photo_124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124</xdr:row>
      <xdr:rowOff>38100</xdr:rowOff>
    </xdr:from>
    <xdr:ext cx="647700" cy="647700"/>
    <xdr:pic>
      <xdr:nvPicPr>
        <xdr:cNvPr id="119" name="photo_125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125</xdr:row>
      <xdr:rowOff>38100</xdr:rowOff>
    </xdr:from>
    <xdr:ext cx="647700" cy="647700"/>
    <xdr:pic>
      <xdr:nvPicPr>
        <xdr:cNvPr id="120" name="photo_126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126</xdr:row>
      <xdr:rowOff>38100</xdr:rowOff>
    </xdr:from>
    <xdr:ext cx="647700" cy="647700"/>
    <xdr:pic>
      <xdr:nvPicPr>
        <xdr:cNvPr id="121" name="photo_127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127</xdr:row>
      <xdr:rowOff>38100</xdr:rowOff>
    </xdr:from>
    <xdr:ext cx="647700" cy="647700"/>
    <xdr:pic>
      <xdr:nvPicPr>
        <xdr:cNvPr id="122" name="photo_128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128</xdr:row>
      <xdr:rowOff>38100</xdr:rowOff>
    </xdr:from>
    <xdr:ext cx="647700" cy="647700"/>
    <xdr:pic>
      <xdr:nvPicPr>
        <xdr:cNvPr id="123" name="photo_129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129</xdr:row>
      <xdr:rowOff>38100</xdr:rowOff>
    </xdr:from>
    <xdr:ext cx="647700" cy="647700"/>
    <xdr:pic>
      <xdr:nvPicPr>
        <xdr:cNvPr id="124" name="photo_130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130</xdr:row>
      <xdr:rowOff>38100</xdr:rowOff>
    </xdr:from>
    <xdr:ext cx="647700" cy="647700"/>
    <xdr:pic>
      <xdr:nvPicPr>
        <xdr:cNvPr id="125" name="photo_131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131</xdr:row>
      <xdr:rowOff>38100</xdr:rowOff>
    </xdr:from>
    <xdr:ext cx="647700" cy="647700"/>
    <xdr:pic>
      <xdr:nvPicPr>
        <xdr:cNvPr id="126" name="photo_132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132</xdr:row>
      <xdr:rowOff>38100</xdr:rowOff>
    </xdr:from>
    <xdr:ext cx="647700" cy="647700"/>
    <xdr:pic>
      <xdr:nvPicPr>
        <xdr:cNvPr id="127" name="photo_133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133</xdr:row>
      <xdr:rowOff>38100</xdr:rowOff>
    </xdr:from>
    <xdr:ext cx="647700" cy="647700"/>
    <xdr:pic>
      <xdr:nvPicPr>
        <xdr:cNvPr id="128" name="photo_134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134</xdr:row>
      <xdr:rowOff>38100</xdr:rowOff>
    </xdr:from>
    <xdr:ext cx="647700" cy="647700"/>
    <xdr:pic>
      <xdr:nvPicPr>
        <xdr:cNvPr id="129" name="photo_135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135</xdr:row>
      <xdr:rowOff>38100</xdr:rowOff>
    </xdr:from>
    <xdr:ext cx="647700" cy="647700"/>
    <xdr:pic>
      <xdr:nvPicPr>
        <xdr:cNvPr id="130" name="photo_136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136</xdr:row>
      <xdr:rowOff>38100</xdr:rowOff>
    </xdr:from>
    <xdr:ext cx="647700" cy="647700"/>
    <xdr:pic>
      <xdr:nvPicPr>
        <xdr:cNvPr id="131" name="photo_137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137</xdr:row>
      <xdr:rowOff>38100</xdr:rowOff>
    </xdr:from>
    <xdr:ext cx="647700" cy="647700"/>
    <xdr:pic>
      <xdr:nvPicPr>
        <xdr:cNvPr id="132" name="photo_138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138</xdr:row>
      <xdr:rowOff>38100</xdr:rowOff>
    </xdr:from>
    <xdr:ext cx="647700" cy="647700"/>
    <xdr:pic>
      <xdr:nvPicPr>
        <xdr:cNvPr id="133" name="photo_139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139</xdr:row>
      <xdr:rowOff>38100</xdr:rowOff>
    </xdr:from>
    <xdr:ext cx="647700" cy="647700"/>
    <xdr:pic>
      <xdr:nvPicPr>
        <xdr:cNvPr id="134" name="photo_140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140</xdr:row>
      <xdr:rowOff>38100</xdr:rowOff>
    </xdr:from>
    <xdr:ext cx="647700" cy="647700"/>
    <xdr:pic>
      <xdr:nvPicPr>
        <xdr:cNvPr id="135" name="photo_141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141</xdr:row>
      <xdr:rowOff>38100</xdr:rowOff>
    </xdr:from>
    <xdr:ext cx="647700" cy="647700"/>
    <xdr:pic>
      <xdr:nvPicPr>
        <xdr:cNvPr id="136" name="photo_142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142</xdr:row>
      <xdr:rowOff>38100</xdr:rowOff>
    </xdr:from>
    <xdr:ext cx="647700" cy="647700"/>
    <xdr:pic>
      <xdr:nvPicPr>
        <xdr:cNvPr id="137" name="photo_143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143</xdr:row>
      <xdr:rowOff>38100</xdr:rowOff>
    </xdr:from>
    <xdr:ext cx="647700" cy="647700"/>
    <xdr:pic>
      <xdr:nvPicPr>
        <xdr:cNvPr id="138" name="photo_144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144</xdr:row>
      <xdr:rowOff>38100</xdr:rowOff>
    </xdr:from>
    <xdr:ext cx="647700" cy="647700"/>
    <xdr:pic>
      <xdr:nvPicPr>
        <xdr:cNvPr id="139" name="photo_145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145</xdr:row>
      <xdr:rowOff>38100</xdr:rowOff>
    </xdr:from>
    <xdr:ext cx="647700" cy="647700"/>
    <xdr:pic>
      <xdr:nvPicPr>
        <xdr:cNvPr id="140" name="photo_146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bdf9e32f-7f2b-11ec-b73f-0018e40a3af2" TargetMode="External"/><Relationship Id="rId_hyperlink_2" Type="http://schemas.openxmlformats.org/officeDocument/2006/relationships/hyperlink" Target="https://www.lavrpack.ru/catalog/?product=c41c0bdd-7f2b-11ec-b73f-0018e40a3af2" TargetMode="External"/><Relationship Id="rId_hyperlink_3" Type="http://schemas.openxmlformats.org/officeDocument/2006/relationships/hyperlink" Target="https://www.lavrpack.ru/catalog/?product=08bfacbd-68f4-11ef-ab51-1cfd08767542%23fdda0c59-68f8-11ef-ab51-1cfd08767542" TargetMode="External"/><Relationship Id="rId_hyperlink_4" Type="http://schemas.openxmlformats.org/officeDocument/2006/relationships/hyperlink" Target="https://www.lavrpack.ru/catalog/?product=e8d5358a-6908-11ef-ab51-1cfd08767542%23f9585926-6908-11ef-ab51-1cfd08767542" TargetMode="External"/><Relationship Id="rId_hyperlink_5" Type="http://schemas.openxmlformats.org/officeDocument/2006/relationships/hyperlink" Target="https://www.lavrpack.ru/catalog/?product=e8d5358a-6908-11ef-ab51-1cfd08767542%23ef79204e-6908-11ef-ab51-1cfd08767542" TargetMode="External"/><Relationship Id="rId_hyperlink_6" Type="http://schemas.openxmlformats.org/officeDocument/2006/relationships/hyperlink" Target="https://www.lavrpack.ru/catalog/?product=805f5c97-7f2a-11ec-b73f-0018e40a3af2" TargetMode="External"/><Relationship Id="rId_hyperlink_7" Type="http://schemas.openxmlformats.org/officeDocument/2006/relationships/hyperlink" Target="https://www.lavrpack.ru/catalog/?product=ab6127cd-7f2c-11ec-b73f-0018e40a3af2" TargetMode="External"/><Relationship Id="rId_hyperlink_8" Type="http://schemas.openxmlformats.org/officeDocument/2006/relationships/hyperlink" Target="https://www.lavrpack.ru/catalog/?product=3c144f6c-6388-11ef-ab51-1cfd08767542%23819c9f5d-6388-11ef-ab51-1cfd08767542" TargetMode="External"/><Relationship Id="rId_hyperlink_9" Type="http://schemas.openxmlformats.org/officeDocument/2006/relationships/hyperlink" Target="https://www.lavrpack.ru/catalog/?product=3c144f6c-6388-11ef-ab51-1cfd08767542%238e936531-6388-11ef-ab51-1cfd08767542" TargetMode="External"/><Relationship Id="rId_hyperlink_10" Type="http://schemas.openxmlformats.org/officeDocument/2006/relationships/hyperlink" Target="https://www.lavrpack.ru/catalog/?product=cdaa70ec-6389-11ef-ab51-1cfd08767542%239bbc94db-638c-11ef-ab51-1cfd08767542" TargetMode="External"/><Relationship Id="rId_hyperlink_11" Type="http://schemas.openxmlformats.org/officeDocument/2006/relationships/hyperlink" Target="https://www.lavrpack.ru/catalog/?product=cdaa70ec-6389-11ef-ab51-1cfd08767542%23b5bad7b4-638c-11ef-ab51-1cfd08767542" TargetMode="External"/><Relationship Id="rId_hyperlink_12" Type="http://schemas.openxmlformats.org/officeDocument/2006/relationships/hyperlink" Target="https://www.lavrpack.ru/catalog/?product=7f65f938-68f1-11ef-ab51-1cfd08767542%23950f9640-68f1-11ef-ab51-1cfd08767542" TargetMode="External"/><Relationship Id="rId_hyperlink_13" Type="http://schemas.openxmlformats.org/officeDocument/2006/relationships/hyperlink" Target="https://www.lavrpack.ru/catalog/?product=7f65f938-68f1-11ef-ab51-1cfd08767542%23a70dd4f9-68f1-11ef-ab51-1cfd08767542" TargetMode="External"/><Relationship Id="rId_hyperlink_14" Type="http://schemas.openxmlformats.org/officeDocument/2006/relationships/hyperlink" Target="https://www.lavrpack.ru/catalog/?product=ae43c877-6905-11ef-ab51-1cfd08767542%23bf1f8ebd-6905-11ef-ab51-1cfd08767542" TargetMode="External"/><Relationship Id="rId_hyperlink_15" Type="http://schemas.openxmlformats.org/officeDocument/2006/relationships/hyperlink" Target="https://www.lavrpack.ru/catalog/?product=a2c94692-68f0-11ef-ab51-1cfd08767542%232de5998f-68f8-11ef-ab51-1cfd08767542" TargetMode="External"/><Relationship Id="rId_hyperlink_16" Type="http://schemas.openxmlformats.org/officeDocument/2006/relationships/hyperlink" Target="https://www.lavrpack.ru/catalog/?product=c5a30bfa-fbed-11ee-9f05-00e01a6800eb" TargetMode="External"/><Relationship Id="rId_hyperlink_17" Type="http://schemas.openxmlformats.org/officeDocument/2006/relationships/hyperlink" Target="https://www.lavrpack.ru/catalog/?product=8b21e8bb-e721-11ec-aec6-00e01a6800eb" TargetMode="External"/><Relationship Id="rId_hyperlink_18" Type="http://schemas.openxmlformats.org/officeDocument/2006/relationships/hyperlink" Target="https://www.lavrpack.ru/catalog/?product=f59cc5c6-fc7b-11ee-9f05-00e01a6800eb" TargetMode="External"/><Relationship Id="rId_hyperlink_19" Type="http://schemas.openxmlformats.org/officeDocument/2006/relationships/hyperlink" Target="https://www.lavrpack.ru/catalog/?product=92760750-066c-11ed-8757-00e01a6800eb" TargetMode="External"/><Relationship Id="rId_hyperlink_20" Type="http://schemas.openxmlformats.org/officeDocument/2006/relationships/hyperlink" Target="https://www.lavrpack.ru/catalog/?product=bac45cb1-fc7d-11ee-9f05-00e01a6800eb" TargetMode="External"/><Relationship Id="rId_hyperlink_21" Type="http://schemas.openxmlformats.org/officeDocument/2006/relationships/hyperlink" Target="https://www.lavrpack.ru/catalog/?product=f4523d69-7f2a-11ec-b73f-0018e40a3af2" TargetMode="External"/><Relationship Id="rId_hyperlink_22" Type="http://schemas.openxmlformats.org/officeDocument/2006/relationships/hyperlink" Target="https://www.lavrpack.ru/catalog/?product=9e676eeb-03cc-11f0-ab3d-22344d083d2c%23dd47bd87-03cd-11f0-ab3d-22344d083d2c" TargetMode="External"/><Relationship Id="rId_hyperlink_23" Type="http://schemas.openxmlformats.org/officeDocument/2006/relationships/hyperlink" Target="https://www.lavrpack.ru/catalog/?product=9e676eeb-03cc-11f0-ab3d-22344d083d2c%23b9143af2-03cc-11f0-ab3d-22344d083d2c" TargetMode="External"/><Relationship Id="rId_hyperlink_24" Type="http://schemas.openxmlformats.org/officeDocument/2006/relationships/hyperlink" Target="https://www.lavrpack.ru/catalog/?product=9e676eeb-03cc-11f0-ab3d-22344d083d2c%23ec43a82f-03cc-11f0-ab3d-22344d083d2c" TargetMode="External"/><Relationship Id="rId_hyperlink_25" Type="http://schemas.openxmlformats.org/officeDocument/2006/relationships/hyperlink" Target="https://www.lavrpack.ru/catalog/?product=9e676eeb-03cc-11f0-ab3d-22344d083d2c%23acfd02bb-03cc-11f0-ab3d-22344d083d2c" TargetMode="External"/><Relationship Id="rId_hyperlink_26" Type="http://schemas.openxmlformats.org/officeDocument/2006/relationships/hyperlink" Target="https://www.lavrpack.ru/catalog/?product=9e676eeb-03cc-11f0-ab3d-22344d083d2c%23cb5fc845-03cd-11f0-ab3d-22344d083d2c" TargetMode="External"/><Relationship Id="rId_hyperlink_27" Type="http://schemas.openxmlformats.org/officeDocument/2006/relationships/hyperlink" Target="https://www.lavrpack.ru/catalog/?product=4dc9d876-03d2-11f0-ab3d-22344d083d2c%236995e316-03d2-11f0-ab3d-22344d083d2c" TargetMode="External"/><Relationship Id="rId_hyperlink_28" Type="http://schemas.openxmlformats.org/officeDocument/2006/relationships/hyperlink" Target="https://www.lavrpack.ru/catalog/?product=4dc9d876-03d2-11f0-ab3d-22344d083d2c%235bb42046-03d2-11f0-ab3d-22344d083d2c" TargetMode="External"/><Relationship Id="rId_hyperlink_29" Type="http://schemas.openxmlformats.org/officeDocument/2006/relationships/hyperlink" Target="https://www.lavrpack.ru/catalog/?product=6885cb94-6919-11ef-ab51-1cfd08767542%236f713bed-6919-11ef-ab51-1cfd08767542" TargetMode="External"/><Relationship Id="rId_hyperlink_30" Type="http://schemas.openxmlformats.org/officeDocument/2006/relationships/hyperlink" Target="https://www.lavrpack.ru/catalog/?product=286915d3-6919-11ef-ab51-1cfd08767542%23355b1480-6919-11ef-ab51-1cfd08767542" TargetMode="External"/><Relationship Id="rId_hyperlink_31" Type="http://schemas.openxmlformats.org/officeDocument/2006/relationships/hyperlink" Target="https://www.lavrpack.ru/catalog/?product=594ef8e9-03d6-11f0-ab3d-22344d083d2c%238710b0c6-03d6-11f0-ab3d-22344d083d2c" TargetMode="External"/><Relationship Id="rId_hyperlink_32" Type="http://schemas.openxmlformats.org/officeDocument/2006/relationships/hyperlink" Target="https://www.lavrpack.ru/catalog/?product=594ef8e9-03d6-11f0-ab3d-22344d083d2c%236c839dd4-03d6-11f0-ab3d-22344d083d2c" TargetMode="External"/><Relationship Id="rId_hyperlink_33" Type="http://schemas.openxmlformats.org/officeDocument/2006/relationships/hyperlink" Target="https://www.lavrpack.ru/catalog/?product=594ef8e9-03d6-11f0-ab3d-22344d083d2c%23810565b5-03d6-11f0-ab3d-22344d083d2c" TargetMode="External"/><Relationship Id="rId_hyperlink_34" Type="http://schemas.openxmlformats.org/officeDocument/2006/relationships/hyperlink" Target="https://www.lavrpack.ru/catalog/?product=594ef8e9-03d6-11f0-ab3d-22344d083d2c%2374f46852-03d6-11f0-ab3d-22344d083d2c" TargetMode="External"/><Relationship Id="rId_hyperlink_35" Type="http://schemas.openxmlformats.org/officeDocument/2006/relationships/hyperlink" Target="https://www.lavrpack.ru/catalog/?product=88b64a6b-03d9-11f0-ab3d-22344d083d2c%23aff8b124-03d9-11f0-ab3d-22344d083d2c" TargetMode="External"/><Relationship Id="rId_hyperlink_36" Type="http://schemas.openxmlformats.org/officeDocument/2006/relationships/hyperlink" Target="https://www.lavrpack.ru/catalog/?product=88b64a6b-03d9-11f0-ab3d-22344d083d2c%23964afe83-03d9-11f0-ab3d-22344d083d2c" TargetMode="External"/><Relationship Id="rId_hyperlink_37" Type="http://schemas.openxmlformats.org/officeDocument/2006/relationships/hyperlink" Target="https://www.lavrpack.ru/catalog/?product=88b64a6b-03d9-11f0-ab3d-22344d083d2c%23a2c23672-03d9-11f0-ab3d-22344d083d2c" TargetMode="External"/><Relationship Id="rId_hyperlink_38" Type="http://schemas.openxmlformats.org/officeDocument/2006/relationships/hyperlink" Target="https://www.lavrpack.ru/catalog/?product=7bcb671d-03c7-11f0-ab3d-22344d083d2c%23959ef029-03c7-11f0-ab3d-22344d083d2c" TargetMode="External"/><Relationship Id="rId_hyperlink_39" Type="http://schemas.openxmlformats.org/officeDocument/2006/relationships/hyperlink" Target="https://www.lavrpack.ru/catalog/?product=8c17f78c-03cf-11f0-ab3d-22344d083d2c%23be1c04cc-03cf-11f0-ab3d-22344d083d2c" TargetMode="External"/><Relationship Id="rId_hyperlink_40" Type="http://schemas.openxmlformats.org/officeDocument/2006/relationships/hyperlink" Target="https://www.lavrpack.ru/catalog/?product=8c17f78c-03cf-11f0-ab3d-22344d083d2c%23b21dae9f-03cf-11f0-ab3d-22344d083d2c" TargetMode="External"/><Relationship Id="rId_hyperlink_41" Type="http://schemas.openxmlformats.org/officeDocument/2006/relationships/hyperlink" Target="https://www.lavrpack.ru/catalog/?product=e7fd62a8-03d0-11f0-ab3d-22344d083d2c%231718a29a-03d1-11f0-ab3d-22344d083d2c" TargetMode="External"/><Relationship Id="rId_hyperlink_42" Type="http://schemas.openxmlformats.org/officeDocument/2006/relationships/hyperlink" Target="https://www.lavrpack.ru/catalog/?product=e7fd62a8-03d0-11f0-ab3d-22344d083d2c%233f636b24-03d1-11f0-ab3d-22344d083d2c" TargetMode="External"/><Relationship Id="rId_hyperlink_43" Type="http://schemas.openxmlformats.org/officeDocument/2006/relationships/hyperlink" Target="https://www.lavrpack.ru/catalog/?product=e7fd62a8-03d0-11f0-ab3d-22344d083d2c%235266ea6f-03d1-11f0-ab3d-22344d083d2c" TargetMode="External"/><Relationship Id="rId_hyperlink_44" Type="http://schemas.openxmlformats.org/officeDocument/2006/relationships/hyperlink" Target="https://www.lavrpack.ru/catalog/?product=6c3eb956-049a-11f0-ab3d-22344d083d2c%2385a60a6d-049a-11f0-ab3d-22344d083d2c" TargetMode="External"/><Relationship Id="rId_hyperlink_45" Type="http://schemas.openxmlformats.org/officeDocument/2006/relationships/hyperlink" Target="https://www.lavrpack.ru/catalog/?product=711ca86d-03ca-11f0-ab3d-22344d083d2c%23f0969b64-03ca-11f0-ab3d-22344d083d2c" TargetMode="External"/><Relationship Id="rId_hyperlink_46" Type="http://schemas.openxmlformats.org/officeDocument/2006/relationships/hyperlink" Target="https://www.lavrpack.ru/catalog/?product=711ca86d-03ca-11f0-ab3d-22344d083d2c%23b5b68836-03ca-11f0-ab3d-22344d083d2c" TargetMode="External"/><Relationship Id="rId_hyperlink_47" Type="http://schemas.openxmlformats.org/officeDocument/2006/relationships/hyperlink" Target="https://www.lavrpack.ru/catalog/?product=711ca86d-03ca-11f0-ab3d-22344d083d2c%231f4842cf-03cb-11f0-ab3d-22344d083d2c" TargetMode="External"/><Relationship Id="rId_hyperlink_48" Type="http://schemas.openxmlformats.org/officeDocument/2006/relationships/hyperlink" Target="https://www.lavrpack.ru/catalog/?product=711ca86d-03ca-11f0-ab3d-22344d083d2c%231879cba6-03cb-11f0-ab3d-22344d083d2c" TargetMode="External"/><Relationship Id="rId_hyperlink_49" Type="http://schemas.openxmlformats.org/officeDocument/2006/relationships/hyperlink" Target="https://www.lavrpack.ru/catalog/?product=711ca86d-03ca-11f0-ab3d-22344d083d2c%23fcc694d4-03ca-11f0-ab3d-22344d083d2c" TargetMode="External"/><Relationship Id="rId_hyperlink_50" Type="http://schemas.openxmlformats.org/officeDocument/2006/relationships/hyperlink" Target="https://www.lavrpack.ru/catalog/?product=711ca86d-03ca-11f0-ab3d-22344d083d2c%23d725f725-03ca-11f0-ab3d-22344d083d2c" TargetMode="External"/><Relationship Id="rId_hyperlink_51" Type="http://schemas.openxmlformats.org/officeDocument/2006/relationships/hyperlink" Target="https://www.lavrpack.ru/catalog/?product=711ca86d-03ca-11f0-ab3d-22344d083d2c%232d075fcc-03cb-11f0-ab3d-22344d083d2c" TargetMode="External"/><Relationship Id="rId_hyperlink_52" Type="http://schemas.openxmlformats.org/officeDocument/2006/relationships/hyperlink" Target="https://www.lavrpack.ru/catalog/?product=e825fa20-03d2-11f0-ab3d-22344d083d2c%23fc64a6f6-03d2-11f0-ab3d-22344d083d2c" TargetMode="External"/><Relationship Id="rId_hyperlink_53" Type="http://schemas.openxmlformats.org/officeDocument/2006/relationships/hyperlink" Target="https://www.lavrpack.ru/catalog/?product=e825fa20-03d2-11f0-ab3d-22344d083d2c%23110f870b-03d3-11f0-ab3d-22344d083d2c" TargetMode="External"/><Relationship Id="rId_hyperlink_54" Type="http://schemas.openxmlformats.org/officeDocument/2006/relationships/hyperlink" Target="https://www.lavrpack.ru/catalog/?product=e825fa20-03d2-11f0-ab3d-22344d083d2c%231824b579-03d3-11f0-ab3d-22344d083d2c" TargetMode="External"/><Relationship Id="rId_hyperlink_55" Type="http://schemas.openxmlformats.org/officeDocument/2006/relationships/hyperlink" Target="https://www.lavrpack.ru/catalog/?product=e825fa20-03d2-11f0-ab3d-22344d083d2c%2302e71b4a-03d3-11f0-ab3d-22344d083d2c" TargetMode="External"/><Relationship Id="rId_hyperlink_56" Type="http://schemas.openxmlformats.org/officeDocument/2006/relationships/hyperlink" Target="https://www.lavrpack.ru/catalog/?product=5084cfbd-03d4-11f0-ab3d-22344d083d2c%237d3cb20d-03d4-11f0-ab3d-22344d083d2c" TargetMode="External"/><Relationship Id="rId_hyperlink_57" Type="http://schemas.openxmlformats.org/officeDocument/2006/relationships/hyperlink" Target="https://www.lavrpack.ru/catalog/?product=5084cfbd-03d4-11f0-ab3d-22344d083d2c%23d37c5de4-03d4-11f0-ab3d-22344d083d2c" TargetMode="External"/><Relationship Id="rId_hyperlink_58" Type="http://schemas.openxmlformats.org/officeDocument/2006/relationships/hyperlink" Target="https://www.lavrpack.ru/catalog/?product=5084cfbd-03d4-11f0-ab3d-22344d083d2c%23c91e1828-03d4-11f0-ab3d-22344d083d2c" TargetMode="External"/><Relationship Id="rId_hyperlink_59" Type="http://schemas.openxmlformats.org/officeDocument/2006/relationships/hyperlink" Target="https://www.lavrpack.ru/catalog/?product=5084cfbd-03d4-11f0-ab3d-22344d083d2c%23bb66b252-03d4-11f0-ab3d-22344d083d2c" TargetMode="External"/><Relationship Id="rId_hyperlink_60" Type="http://schemas.openxmlformats.org/officeDocument/2006/relationships/hyperlink" Target="https://www.lavrpack.ru/catalog/?product=5084cfbd-03d4-11f0-ab3d-22344d083d2c%23980168ef-03d4-11f0-ab3d-22344d083d2c" TargetMode="External"/><Relationship Id="rId_hyperlink_61" Type="http://schemas.openxmlformats.org/officeDocument/2006/relationships/hyperlink" Target="https://www.lavrpack.ru/catalog/?product=5084cfbd-03d4-11f0-ab3d-22344d083d2c%238a0e9521-03d4-11f0-ab3d-22344d083d2c" TargetMode="External"/><Relationship Id="rId_hyperlink_62" Type="http://schemas.openxmlformats.org/officeDocument/2006/relationships/hyperlink" Target="https://www.lavrpack.ru/catalog/?product=91e75c2a-03c2-11f0-ab3d-22344d083d2c%232af8d32a-03c5-11f0-ab3d-22344d083d2c" TargetMode="External"/><Relationship Id="rId_hyperlink_63" Type="http://schemas.openxmlformats.org/officeDocument/2006/relationships/hyperlink" Target="https://www.lavrpack.ru/catalog/?product=91e75c2a-03c2-11f0-ab3d-22344d083d2c%23b90fc5de-03c2-11f0-ab3d-22344d083d2c" TargetMode="External"/><Relationship Id="rId_hyperlink_64" Type="http://schemas.openxmlformats.org/officeDocument/2006/relationships/hyperlink" Target="https://www.lavrpack.ru/catalog/?product=91e75c2a-03c2-11f0-ab3d-22344d083d2c%231cfd6b0e-03c5-11f0-ab3d-22344d083d2c" TargetMode="External"/><Relationship Id="rId_hyperlink_65" Type="http://schemas.openxmlformats.org/officeDocument/2006/relationships/hyperlink" Target="https://www.lavrpack.ru/catalog/?product=91e75c2a-03c2-11f0-ab3d-22344d083d2c%23ac39d7f6-03c2-11f0-ab3d-22344d083d2c" TargetMode="External"/><Relationship Id="rId_hyperlink_66" Type="http://schemas.openxmlformats.org/officeDocument/2006/relationships/hyperlink" Target="https://www.lavrpack.ru/catalog/?product=2b4a3764-03da-11f0-ab3d-22344d083d2c%2376b15c25-03da-11f0-ab3d-22344d083d2c" TargetMode="External"/><Relationship Id="rId_hyperlink_67" Type="http://schemas.openxmlformats.org/officeDocument/2006/relationships/hyperlink" Target="https://www.lavrpack.ru/catalog/?product=2b4a3764-03da-11f0-ab3d-22344d083d2c%2360fd7b27-03da-11f0-ab3d-22344d083d2c" TargetMode="External"/><Relationship Id="rId_hyperlink_68" Type="http://schemas.openxmlformats.org/officeDocument/2006/relationships/hyperlink" Target="https://www.lavrpack.ru/catalog/?product=2b4a3764-03da-11f0-ab3d-22344d083d2c%2353a190f4-03da-11f0-ab3d-22344d083d2c" TargetMode="External"/><Relationship Id="rId_hyperlink_69" Type="http://schemas.openxmlformats.org/officeDocument/2006/relationships/hyperlink" Target="https://www.lavrpack.ru/catalog/?product=2b4a3764-03da-11f0-ab3d-22344d083d2c%236ee4b467-03da-11f0-ab3d-22344d083d2c" TargetMode="External"/><Relationship Id="rId_hyperlink_70" Type="http://schemas.openxmlformats.org/officeDocument/2006/relationships/hyperlink" Target="https://www.lavrpack.ru/catalog/?product=8f4f0aff-03c9-11f0-ab3d-22344d083d2c%233798038b-0498-11f0-ab3d-22344d083d2c" TargetMode="External"/><Relationship Id="rId_hyperlink_71" Type="http://schemas.openxmlformats.org/officeDocument/2006/relationships/hyperlink" Target="https://www.lavrpack.ru/catalog/?product=8f4f0aff-03c9-11f0-ab3d-22344d083d2c%23bc33448c-03c9-11f0-ab3d-22344d083d2c" TargetMode="External"/><Relationship Id="rId_hyperlink_72" Type="http://schemas.openxmlformats.org/officeDocument/2006/relationships/hyperlink" Target="https://www.lavrpack.ru/catalog/?product=8f4f0aff-03c9-11f0-ab3d-22344d083d2c%23afd312f1-03c9-11f0-ab3d-22344d083d2c" TargetMode="External"/><Relationship Id="rId_hyperlink_73" Type="http://schemas.openxmlformats.org/officeDocument/2006/relationships/hyperlink" Target="https://www.lavrpack.ru/catalog/?product=8f4f0aff-03c9-11f0-ab3d-22344d083d2c%23c98ae578-03c9-11f0-ab3d-22344d083d2c" TargetMode="External"/><Relationship Id="rId_hyperlink_74" Type="http://schemas.openxmlformats.org/officeDocument/2006/relationships/hyperlink" Target="https://www.lavrpack.ru/catalog/?product=8f98cd29-03c1-11f0-ab3d-22344d083d2c%23bd8b3d45-03c1-11f0-ab3d-22344d083d2c" TargetMode="External"/><Relationship Id="rId_hyperlink_75" Type="http://schemas.openxmlformats.org/officeDocument/2006/relationships/hyperlink" Target="https://www.lavrpack.ru/catalog/?product=8f98cd29-03c1-11f0-ab3d-22344d083d2c%23d8e3b906-03c1-11f0-ab3d-22344d083d2c" TargetMode="External"/><Relationship Id="rId_hyperlink_76" Type="http://schemas.openxmlformats.org/officeDocument/2006/relationships/hyperlink" Target="https://www.lavrpack.ru/catalog/?product=8f98cd29-03c1-11f0-ab3d-22344d083d2c%23c6d640a8-03c1-11f0-ab3d-22344d083d2c" TargetMode="External"/><Relationship Id="rId_hyperlink_77" Type="http://schemas.openxmlformats.org/officeDocument/2006/relationships/hyperlink" Target="https://www.lavrpack.ru/catalog/?product=8f98cd29-03c1-11f0-ab3d-22344d083d2c%23b168841e-03c1-11f0-ab3d-22344d083d2c" TargetMode="External"/><Relationship Id="rId_hyperlink_78" Type="http://schemas.openxmlformats.org/officeDocument/2006/relationships/hyperlink" Target="https://www.lavrpack.ru/catalog/?product=8f98cd29-03c1-11f0-ab3d-22344d083d2c%23f39d40b3-03c1-11f0-ab3d-22344d083d2c" TargetMode="External"/><Relationship Id="rId_hyperlink_79" Type="http://schemas.openxmlformats.org/officeDocument/2006/relationships/hyperlink" Target="https://www.lavrpack.ru/catalog/?product=8f98cd29-03c1-11f0-ab3d-22344d083d2c%23e9df02af-03c1-11f0-ab3d-22344d083d2c" TargetMode="External"/><Relationship Id="rId_hyperlink_80" Type="http://schemas.openxmlformats.org/officeDocument/2006/relationships/hyperlink" Target="https://www.lavrpack.ru/catalog/?product=81dd8b6b-03d7-11f0-ab3d-22344d083d2c%23a0f68200-03d7-11f0-ab3d-22344d083d2c" TargetMode="External"/><Relationship Id="rId_hyperlink_81" Type="http://schemas.openxmlformats.org/officeDocument/2006/relationships/hyperlink" Target="https://www.lavrpack.ru/catalog/?product=81dd8b6b-03d7-11f0-ab3d-22344d083d2c%23c540d39c-03d7-11f0-ab3d-22344d083d2c" TargetMode="External"/><Relationship Id="rId_hyperlink_82" Type="http://schemas.openxmlformats.org/officeDocument/2006/relationships/hyperlink" Target="https://www.lavrpack.ru/catalog/?product=81dd8b6b-03d7-11f0-ab3d-22344d083d2c%23b75b00a5-03d7-11f0-ab3d-22344d083d2c" TargetMode="External"/><Relationship Id="rId_hyperlink_83" Type="http://schemas.openxmlformats.org/officeDocument/2006/relationships/hyperlink" Target="https://www.lavrpack.ru/catalog/?product=81dd8b6b-03d7-11f0-ab3d-22344d083d2c%23ad8ab05f-03d7-11f0-ab3d-22344d083d2c" TargetMode="External"/><Relationship Id="rId_hyperlink_84" Type="http://schemas.openxmlformats.org/officeDocument/2006/relationships/hyperlink" Target="https://www.lavrpack.ru/catalog/?product=81dd8b6b-03d7-11f0-ab3d-22344d083d2c%238e4f8cf7-03d7-11f0-ab3d-22344d083d2c" TargetMode="External"/><Relationship Id="rId_hyperlink_85" Type="http://schemas.openxmlformats.org/officeDocument/2006/relationships/hyperlink" Target="https://www.lavrpack.ru/catalog/?product=be025bf9-03d5-11f0-ab3d-22344d083d2c%23e54cae31-03d5-11f0-ab3d-22344d083d2c" TargetMode="External"/><Relationship Id="rId_hyperlink_86" Type="http://schemas.openxmlformats.org/officeDocument/2006/relationships/hyperlink" Target="https://www.lavrpack.ru/catalog/?product=be025bf9-03d5-11f0-ab3d-22344d083d2c%23cba1574a-03d5-11f0-ab3d-22344d083d2c" TargetMode="External"/><Relationship Id="rId_hyperlink_87" Type="http://schemas.openxmlformats.org/officeDocument/2006/relationships/hyperlink" Target="https://www.lavrpack.ru/catalog/?product=be025bf9-03d5-11f0-ab3d-22344d083d2c%23d8ad5a29-03d5-11f0-ab3d-22344d083d2c" TargetMode="External"/><Relationship Id="rId_hyperlink_88" Type="http://schemas.openxmlformats.org/officeDocument/2006/relationships/hyperlink" Target="https://www.lavrpack.ru/catalog/?product=be025bf9-03d5-11f0-ab3d-22344d083d2c%23f23a1cd7-03d5-11f0-ab3d-22344d083d2c" TargetMode="External"/><Relationship Id="rId_hyperlink_89" Type="http://schemas.openxmlformats.org/officeDocument/2006/relationships/hyperlink" Target="https://www.lavrpack.ru/catalog/?product=a5bed498-03bc-11f0-ab3d-22344d083d2c%23c5bf0dd5-03bc-11f0-ab3d-22344d083d2c" TargetMode="External"/><Relationship Id="rId_hyperlink_90" Type="http://schemas.openxmlformats.org/officeDocument/2006/relationships/hyperlink" Target="https://www.lavrpack.ru/catalog/?product=a5bed498-03bc-11f0-ab3d-22344d083d2c%23f7fd461c-03bc-11f0-ab3d-22344d083d2c" TargetMode="External"/><Relationship Id="rId_hyperlink_91" Type="http://schemas.openxmlformats.org/officeDocument/2006/relationships/hyperlink" Target="https://www.lavrpack.ru/catalog/?product=a5bed498-03bc-11f0-ab3d-22344d083d2c%23d7dc2896-03bc-11f0-ab3d-22344d083d2c" TargetMode="External"/><Relationship Id="rId_hyperlink_92" Type="http://schemas.openxmlformats.org/officeDocument/2006/relationships/hyperlink" Target="https://www.lavrpack.ru/catalog/?product=a5bed498-03bc-11f0-ab3d-22344d083d2c%23ea7933e7-03bc-11f0-ab3d-22344d083d2c" TargetMode="External"/><Relationship Id="rId_hyperlink_93" Type="http://schemas.openxmlformats.org/officeDocument/2006/relationships/hyperlink" Target="https://www.lavrpack.ru/catalog/?product=8e80ce57-03be-11f0-ab3d-22344d083d2c%23a9cd5f22-03be-11f0-ab3d-22344d083d2c" TargetMode="External"/><Relationship Id="rId_hyperlink_94" Type="http://schemas.openxmlformats.org/officeDocument/2006/relationships/hyperlink" Target="https://www.lavrpack.ru/catalog/?product=8e80ce57-03be-11f0-ab3d-22344d083d2c%239b67fb39-03be-11f0-ab3d-22344d083d2c" TargetMode="External"/><Relationship Id="rId_hyperlink_95" Type="http://schemas.openxmlformats.org/officeDocument/2006/relationships/hyperlink" Target="https://www.lavrpack.ru/catalog/?product=dfd51589-03c0-11f0-ab3d-22344d083d2c%23f00c28db-03c0-11f0-ab3d-22344d083d2c" TargetMode="External"/><Relationship Id="rId_hyperlink_96" Type="http://schemas.openxmlformats.org/officeDocument/2006/relationships/hyperlink" Target="https://www.lavrpack.ru/catalog/?product=a3f13206-03d3-11f0-ab3d-22344d083d2c%23bd056dc1-03d3-11f0-ab3d-22344d083d2c" TargetMode="External"/><Relationship Id="rId_hyperlink_97" Type="http://schemas.openxmlformats.org/officeDocument/2006/relationships/hyperlink" Target="https://www.lavrpack.ru/catalog/?product=a3f13206-03d3-11f0-ab3d-22344d083d2c%23ad8116d5-03d3-11f0-ab3d-22344d083d2c" TargetMode="External"/><Relationship Id="rId_hyperlink_98" Type="http://schemas.openxmlformats.org/officeDocument/2006/relationships/hyperlink" Target="https://www.lavrpack.ru/catalog/?product=a3f13206-03d3-11f0-ab3d-22344d083d2c%23d6b98aea-03d3-11f0-ab3d-22344d083d2c" TargetMode="External"/><Relationship Id="rId_hyperlink_99" Type="http://schemas.openxmlformats.org/officeDocument/2006/relationships/hyperlink" Target="https://www.lavrpack.ru/catalog/?product=a3f13206-03d3-11f0-ab3d-22344d083d2c%23ca172d86-03d3-11f0-ab3d-22344d083d2c" TargetMode="External"/><Relationship Id="rId_hyperlink_100" Type="http://schemas.openxmlformats.org/officeDocument/2006/relationships/hyperlink" Target="https://www.lavrpack.ru/catalog/?product=ab6127c3-7f2c-11ec-b73f-0018e40a3af2" TargetMode="External"/><Relationship Id="rId_hyperlink_101" Type="http://schemas.openxmlformats.org/officeDocument/2006/relationships/hyperlink" Target="https://www.lavrpack.ru/catalog/?product=7c7ba5fd-6917-11ef-ab51-1cfd08767542%2387e6ade3-6917-11ef-ab51-1cfd08767542" TargetMode="External"/><Relationship Id="rId_hyperlink_102" Type="http://schemas.openxmlformats.org/officeDocument/2006/relationships/hyperlink" Target="https://www.lavrpack.ru/catalog/?product=2cc9ec81-6917-11ef-ab51-1cfd08767542%2333db8b67-6917-11ef-ab51-1cfd08767542" TargetMode="External"/><Relationship Id="rId_hyperlink_103" Type="http://schemas.openxmlformats.org/officeDocument/2006/relationships/hyperlink" Target="https://www.lavrpack.ru/catalog/?product=24ecd6c9-6918-11ef-ab51-1cfd08767542%233d2d4301-6918-11ef-ab51-1cfd08767542" TargetMode="External"/><Relationship Id="rId_hyperlink_104" Type="http://schemas.openxmlformats.org/officeDocument/2006/relationships/hyperlink" Target="https://www.lavrpack.ru/catalog/?product=2685f087-6900-11ef-ab51-1cfd08767542%232c8ee858-6900-11ef-ab51-1cfd08767542" TargetMode="External"/><Relationship Id="rId_hyperlink_105" Type="http://schemas.openxmlformats.org/officeDocument/2006/relationships/hyperlink" Target="https://www.lavrpack.ru/catalog/?product=374e412d-68f3-11ef-ab51-1cfd08767542%2340e38a55-68f3-11ef-ab51-1cfd08767542" TargetMode="External"/><Relationship Id="rId_hyperlink_106" Type="http://schemas.openxmlformats.org/officeDocument/2006/relationships/hyperlink" Target="https://www.lavrpack.ru/catalog/?product=55086787-6904-11ef-ab51-1cfd08767542%236b411298-6904-11ef-ab51-1cfd08767542" TargetMode="External"/><Relationship Id="rId_hyperlink_107" Type="http://schemas.openxmlformats.org/officeDocument/2006/relationships/hyperlink" Target="https://www.lavrpack.ru/catalog/?product=eeba6411-6919-11ef-ab51-1cfd08767542%23137596cc-691a-11ef-ab51-1cfd08767542" TargetMode="External"/><Relationship Id="rId_hyperlink_108" Type="http://schemas.openxmlformats.org/officeDocument/2006/relationships/hyperlink" Target="https://www.lavrpack.ru/catalog/?product=74c6404f-691b-11ef-ab51-1cfd08767542%238e2bcc93-691b-11ef-ab51-1cfd08767542" TargetMode="External"/><Relationship Id="rId_hyperlink_109" Type="http://schemas.openxmlformats.org/officeDocument/2006/relationships/hyperlink" Target="https://www.lavrpack.ru/catalog/?product=fe8b796a-638e-11ef-ab51-1cfd08767542" TargetMode="External"/><Relationship Id="rId_hyperlink_110" Type="http://schemas.openxmlformats.org/officeDocument/2006/relationships/hyperlink" Target="https://www.lavrpack.ru/catalog/?product=a9fb3446-7f2e-11ec-b73f-0018e40a3af2" TargetMode="External"/><Relationship Id="rId_hyperlink_111" Type="http://schemas.openxmlformats.org/officeDocument/2006/relationships/hyperlink" Target="https://www.lavrpack.ru/catalog/?product=c36336ab-6900-11ef-ab51-1cfd08767542%23e2832b8e-6900-11ef-ab51-1cfd08767542" TargetMode="External"/><Relationship Id="rId_hyperlink_112" Type="http://schemas.openxmlformats.org/officeDocument/2006/relationships/hyperlink" Target="https://www.lavrpack.ru/catalog/?product=c36336ab-6900-11ef-ab51-1cfd08767542%2305d402ff-6901-11ef-ab51-1cfd08767542" TargetMode="External"/><Relationship Id="rId_hyperlink_113" Type="http://schemas.openxmlformats.org/officeDocument/2006/relationships/hyperlink" Target="https://www.lavrpack.ru/catalog/?product=c36336ab-6900-11ef-ab51-1cfd08767542%23f5f0960b-6900-11ef-ab51-1cfd08767542" TargetMode="External"/><Relationship Id="rId_hyperlink_114" Type="http://schemas.openxmlformats.org/officeDocument/2006/relationships/hyperlink" Target="https://www.lavrpack.ru/catalog/?product=c5f17096-6902-11ef-ab51-1cfd08767542%23da0ce769-6902-11ef-ab51-1cfd08767542" TargetMode="External"/><Relationship Id="rId_hyperlink_115" Type="http://schemas.openxmlformats.org/officeDocument/2006/relationships/hyperlink" Target="https://www.lavrpack.ru/catalog/?product=c5f17096-6902-11ef-ab51-1cfd08767542%23ccfe44e9-6902-11ef-ab51-1cfd08767542" TargetMode="External"/><Relationship Id="rId_hyperlink_116" Type="http://schemas.openxmlformats.org/officeDocument/2006/relationships/hyperlink" Target="https://www.lavrpack.ru/catalog/?product=c41c0bec-7f2b-11ec-b73f-0018e40a3af2" TargetMode="External"/><Relationship Id="rId_hyperlink_117" Type="http://schemas.openxmlformats.org/officeDocument/2006/relationships/hyperlink" Target="https://www.lavrpack.ru/catalog/?product=7ff2736d-6903-11ef-ab51-1cfd08767542%237ff273a1-6903-11ef-ab51-1cfd08767542" TargetMode="External"/><Relationship Id="rId_hyperlink_118" Type="http://schemas.openxmlformats.org/officeDocument/2006/relationships/hyperlink" Target="https://www.lavrpack.ru/catalog/?product=7ff2736d-6903-11ef-ab51-1cfd08767542%23861cc471-6903-11ef-ab51-1cfd08767542" TargetMode="External"/><Relationship Id="rId_hyperlink_119" Type="http://schemas.openxmlformats.org/officeDocument/2006/relationships/hyperlink" Target="https://www.lavrpack.ru/catalog/?product=44f82dbf-6905-11ef-ab51-1cfd08767542%2353accf27-6905-11ef-ab51-1cfd08767542" TargetMode="External"/><Relationship Id="rId_hyperlink_120" Type="http://schemas.openxmlformats.org/officeDocument/2006/relationships/hyperlink" Target="https://www.lavrpack.ru/catalog/?product=44f82dbf-6905-11ef-ab51-1cfd08767542%234c28c4a0-6905-11ef-ab51-1cfd08767542" TargetMode="External"/><Relationship Id="rId_hyperlink_121" Type="http://schemas.openxmlformats.org/officeDocument/2006/relationships/hyperlink" Target="https://www.lavrpack.ru/catalog/?product=4ec69121-68f2-11ef-ab51-1cfd08767542%23517469e2-68f8-11ef-ab51-1cfd08767542" TargetMode="External"/><Relationship Id="rId_hyperlink_122" Type="http://schemas.openxmlformats.org/officeDocument/2006/relationships/hyperlink" Target="https://www.lavrpack.ru/catalog/?product=a9feec74-6390-11ef-ab51-1cfd08767542" TargetMode="External"/><Relationship Id="rId_hyperlink_123" Type="http://schemas.openxmlformats.org/officeDocument/2006/relationships/hyperlink" Target="https://www.lavrpack.ru/catalog/?product=7a02b4d6-6391-11ef-ab51-1cfd08767542%23ba27008b-6391-11ef-ab51-1cfd08767542" TargetMode="External"/><Relationship Id="rId_hyperlink_124" Type="http://schemas.openxmlformats.org/officeDocument/2006/relationships/hyperlink" Target="https://www.lavrpack.ru/catalog/?product=db9caaa7-6392-11ef-ab51-1cfd08767542" TargetMode="External"/><Relationship Id="rId_hyperlink_125" Type="http://schemas.openxmlformats.org/officeDocument/2006/relationships/hyperlink" Target="https://www.lavrpack.ru/catalog/?product=7280647c-68fa-11ef-ab51-1cfd08767542%237cfa99a8-68fa-11ef-ab51-1cfd08767542" TargetMode="External"/><Relationship Id="rId_hyperlink_126" Type="http://schemas.openxmlformats.org/officeDocument/2006/relationships/hyperlink" Target="https://www.lavrpack.ru/catalog/?product=05bb02cf-6397-11ef-ab51-1cfd08767542%2316ff429a-6397-11ef-ab51-1cfd08767542" TargetMode="External"/><Relationship Id="rId_hyperlink_127" Type="http://schemas.openxmlformats.org/officeDocument/2006/relationships/hyperlink" Target="https://www.lavrpack.ru/catalog/?product=ceb09d49-6397-11ef-ab51-1cfd08767542%23edda476e-6397-11ef-ab51-1cfd08767542" TargetMode="External"/><Relationship Id="rId_hyperlink_128" Type="http://schemas.openxmlformats.org/officeDocument/2006/relationships/hyperlink" Target="https://www.lavrpack.ru/catalog/?product=ed5f502f-639a-11ef-ab51-1cfd08767542%23d97c0e46-639b-11ef-ab51-1cfd08767542" TargetMode="External"/><Relationship Id="rId_hyperlink_129" Type="http://schemas.openxmlformats.org/officeDocument/2006/relationships/hyperlink" Target="https://www.lavrpack.ru/catalog/?product=3fd4774e-639d-11ef-ab51-1cfd08767542%236204f6d6-639d-11ef-ab51-1cfd08767542" TargetMode="External"/><Relationship Id="rId_hyperlink_130" Type="http://schemas.openxmlformats.org/officeDocument/2006/relationships/hyperlink" Target="https://www.lavrpack.ru/catalog/?product=8b3dca80-639e-11ef-ab51-1cfd08767542%23a1872466-639e-11ef-ab51-1cfd08767542" TargetMode="External"/><Relationship Id="rId_hyperlink_131" Type="http://schemas.openxmlformats.org/officeDocument/2006/relationships/hyperlink" Target="https://www.lavrpack.ru/catalog/?product=f631da93-639e-11ef-ab51-1cfd08767542%231b884347-639f-11ef-ab51-1cfd08767542" TargetMode="External"/><Relationship Id="rId_hyperlink_132" Type="http://schemas.openxmlformats.org/officeDocument/2006/relationships/hyperlink" Target="https://www.lavrpack.ru/catalog/?product=f95e4d14-639f-11ef-ab51-1cfd08767542%233cd3122e-63a0-11ef-ab51-1cfd08767542" TargetMode="External"/><Relationship Id="rId_hyperlink_133" Type="http://schemas.openxmlformats.org/officeDocument/2006/relationships/hyperlink" Target="https://www.lavrpack.ru/catalog/?product=f95e4d14-639f-11ef-ab51-1cfd08767542%231cd7bb5a-63a0-11ef-ab51-1cfd08767542" TargetMode="External"/><Relationship Id="rId_hyperlink_134" Type="http://schemas.openxmlformats.org/officeDocument/2006/relationships/hyperlink" Target="https://www.lavrpack.ru/catalog/?product=b26577f1-63a0-11ef-ab51-1cfd08767542%234c1314e8-63a1-11ef-ab51-1cfd08767542" TargetMode="External"/><Relationship Id="rId_hyperlink_135" Type="http://schemas.openxmlformats.org/officeDocument/2006/relationships/hyperlink" Target="https://www.lavrpack.ru/catalog/?product=b26577f1-63a0-11ef-ab51-1cfd08767542%235265f367-63a1-11ef-ab51-1cfd08767542" TargetMode="External"/><Relationship Id="rId_hyperlink_136" Type="http://schemas.openxmlformats.org/officeDocument/2006/relationships/hyperlink" Target="https://www.lavrpack.ru/catalog/?product=1821ff72-63a2-11ef-ab51-1cfd08767542%235529661e-63a2-11ef-ab51-1cfd08767542" TargetMode="External"/><Relationship Id="rId_hyperlink_137" Type="http://schemas.openxmlformats.org/officeDocument/2006/relationships/hyperlink" Target="https://www.lavrpack.ru/catalog/?product=1821ff72-63a2-11ef-ab51-1cfd08767542%233687e1d8-63a2-11ef-ab51-1cfd08767542" TargetMode="External"/><Relationship Id="rId_hyperlink_138" Type="http://schemas.openxmlformats.org/officeDocument/2006/relationships/hyperlink" Target="https://www.lavrpack.ru/catalog/?product=1821ff72-63a2-11ef-ab51-1cfd08767542%23277d795b-63a2-11ef-ab51-1cfd08767542" TargetMode="External"/><Relationship Id="rId_hyperlink_139" Type="http://schemas.openxmlformats.org/officeDocument/2006/relationships/hyperlink" Target="https://www.lavrpack.ru/catalog/?product=1821ff72-63a2-11ef-ab51-1cfd08767542%2345734d75-63a2-11ef-ab51-1cfd08767542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50"/>
  <sheetViews>
    <sheetView tabSelected="1" workbookViewId="0" showGridLines="true" showRowColHeaders="1">
      <pane ySplit="6" activePane="bottomLeft" state="frozen" topLeftCell="A7"/>
      <selection pane="bottomLeft" activeCell="M7" sqref="M7:M146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IF($G$3="","",SUMPRODUCT(--ISNUMBER(SEARCH($G$3,$B$7:$B$146&amp;" "&amp;$C$7:$C$146&amp;" "&amp;$D$7:$D$146&amp;" "&amp;$E$7:$E$146)))&amp;"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525</v>
      </c>
      <c r="P6" s="40" t="s">
        <v>526</v>
      </c>
      <c r="Q6" s="40" t="s">
        <v>527</v>
      </c>
      <c r="R6" s="40" t="s">
        <v>528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896.0</v>
      </c>
      <c r="J8" s="22">
        <v>2.0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33</v>
      </c>
      <c r="C9" s="17" t="s">
        <v>28</v>
      </c>
      <c r="D9" s="17" t="s">
        <v>29</v>
      </c>
      <c r="E9" s="17" t="s">
        <v>34</v>
      </c>
      <c r="F9" s="19"/>
      <c r="G9" s="20">
        <v>1.0</v>
      </c>
      <c r="H9" s="21"/>
      <c r="I9" s="21">
        <v>814.0</v>
      </c>
      <c r="J9" s="22">
        <v>1.0</v>
      </c>
      <c r="K9" s="50"/>
      <c r="L9" s="21" t="str">
        <f>IF(K9&gt;0,K9*I9,"")</f>
      </c>
      <c r="M9" s="52"/>
      <c r="N9" t="str">
        <f>IF(K9&gt;0,COUNTIF($K$7:K9,"&gt;0"),"")</f>
      </c>
      <c r="O9" t="s">
        <v>35</v>
      </c>
      <c r="P9" t="s">
        <v>32</v>
      </c>
      <c r="Q9" t="s">
        <v>32</v>
      </c>
    </row>
    <row r="10" spans="1:18" customHeight="1" ht="58">
      <c r="A10" s="16"/>
      <c r="B10" s="18" t="s">
        <v>37</v>
      </c>
      <c r="C10" s="17" t="s">
        <v>38</v>
      </c>
      <c r="D10" s="17"/>
      <c r="E10" s="17"/>
      <c r="F10" s="19"/>
      <c r="G10" s="20">
        <v>1.0</v>
      </c>
      <c r="H10" s="21"/>
      <c r="I10" s="21">
        <v>624.0</v>
      </c>
      <c r="J10" s="22">
        <v>3.0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39</v>
      </c>
      <c r="P10" t="s">
        <v>36</v>
      </c>
      <c r="Q10" t="s">
        <v>36</v>
      </c>
    </row>
    <row r="11" spans="1:18" customHeight="1" ht="58">
      <c r="A11" s="16"/>
      <c r="B11" s="18" t="s">
        <v>41</v>
      </c>
      <c r="C11" s="17" t="s">
        <v>42</v>
      </c>
      <c r="D11" s="17"/>
      <c r="E11" s="17"/>
      <c r="F11" s="19"/>
      <c r="G11" s="20">
        <v>1.0</v>
      </c>
      <c r="H11" s="21"/>
      <c r="I11" s="21">
        <v>342.0</v>
      </c>
      <c r="J11" s="22">
        <v>1.0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43</v>
      </c>
      <c r="P11" t="s">
        <v>40</v>
      </c>
      <c r="Q11" t="s">
        <v>40</v>
      </c>
    </row>
    <row r="12" spans="1:18" customHeight="1" ht="58">
      <c r="A12" s="16"/>
      <c r="B12" s="18" t="s">
        <v>41</v>
      </c>
      <c r="C12" s="17" t="s">
        <v>45</v>
      </c>
      <c r="D12" s="17"/>
      <c r="E12" s="17"/>
      <c r="F12" s="19"/>
      <c r="G12" s="20">
        <v>1.0</v>
      </c>
      <c r="H12" s="21"/>
      <c r="I12" s="21">
        <v>342.0</v>
      </c>
      <c r="J12" s="22">
        <v>1.0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46</v>
      </c>
      <c r="P12" t="s">
        <v>44</v>
      </c>
      <c r="Q12" t="s">
        <v>44</v>
      </c>
    </row>
    <row r="13" spans="1:18" customHeight="1" ht="58">
      <c r="A13" s="16"/>
      <c r="B13" s="18" t="s">
        <v>48</v>
      </c>
      <c r="C13" s="17" t="s">
        <v>49</v>
      </c>
      <c r="D13" s="17" t="s">
        <v>50</v>
      </c>
      <c r="E13" s="17"/>
      <c r="F13" s="19"/>
      <c r="G13" s="20">
        <v>1.0</v>
      </c>
      <c r="H13" s="21"/>
      <c r="I13" s="21"/>
      <c r="J13" s="22">
        <v>1.0</v>
      </c>
      <c r="K13" s="50"/>
      <c r="L13" s="21" t="str">
        <f>IF(K13&gt;0,"по запросу","")</f>
      </c>
      <c r="M13" s="52"/>
      <c r="N13" t="str">
        <f>IF(K13&gt;0,COUNTIF($K$7:K13,"&gt;0"),"")</f>
      </c>
      <c r="P13" t="s">
        <v>47</v>
      </c>
      <c r="Q13" t="s">
        <v>47</v>
      </c>
    </row>
    <row r="14" spans="1:18" customHeight="1" ht="58">
      <c r="A14" s="16"/>
      <c r="B14" s="18" t="s">
        <v>52</v>
      </c>
      <c r="C14" s="17" t="s">
        <v>49</v>
      </c>
      <c r="D14" s="17" t="s">
        <v>29</v>
      </c>
      <c r="E14" s="17" t="s">
        <v>53</v>
      </c>
      <c r="F14" s="19"/>
      <c r="G14" s="20">
        <v>1.0</v>
      </c>
      <c r="H14" s="21"/>
      <c r="I14" s="21">
        <v>197.0</v>
      </c>
      <c r="J14" s="22">
        <v>8.0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54</v>
      </c>
      <c r="P14" t="s">
        <v>51</v>
      </c>
      <c r="Q14" t="s">
        <v>51</v>
      </c>
    </row>
    <row r="15" spans="1:18" customHeight="1" ht="58">
      <c r="A15" s="16"/>
      <c r="B15" s="18" t="s">
        <v>56</v>
      </c>
      <c r="C15" s="17" t="s">
        <v>57</v>
      </c>
      <c r="D15" s="17"/>
      <c r="E15" s="17"/>
      <c r="F15" s="19"/>
      <c r="G15" s="20">
        <v>1.0</v>
      </c>
      <c r="H15" s="21"/>
      <c r="I15" s="21">
        <v>1264.0</v>
      </c>
      <c r="J15" s="22">
        <v>4.0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58</v>
      </c>
      <c r="P15" t="s">
        <v>55</v>
      </c>
      <c r="Q15" t="s">
        <v>55</v>
      </c>
    </row>
    <row r="16" spans="1:18" customHeight="1" ht="58">
      <c r="A16" s="16"/>
      <c r="B16" s="18" t="s">
        <v>56</v>
      </c>
      <c r="C16" s="17" t="s">
        <v>60</v>
      </c>
      <c r="D16" s="17"/>
      <c r="E16" s="17"/>
      <c r="F16" s="19"/>
      <c r="G16" s="20">
        <v>1.0</v>
      </c>
      <c r="H16" s="21"/>
      <c r="I16" s="21">
        <v>1395.0</v>
      </c>
      <c r="J16" s="22">
        <v>1.0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61</v>
      </c>
      <c r="P16" t="s">
        <v>59</v>
      </c>
      <c r="Q16" t="s">
        <v>59</v>
      </c>
    </row>
    <row r="17" spans="1:18" customHeight="1" ht="58">
      <c r="A17" s="16"/>
      <c r="B17" s="18" t="s">
        <v>63</v>
      </c>
      <c r="C17" s="17" t="s">
        <v>64</v>
      </c>
      <c r="D17" s="17"/>
      <c r="E17" s="17"/>
      <c r="F17" s="19"/>
      <c r="G17" s="20">
        <v>1.0</v>
      </c>
      <c r="H17" s="21"/>
      <c r="I17" s="21">
        <v>1266.0</v>
      </c>
      <c r="J17" s="22">
        <v>3.0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65</v>
      </c>
      <c r="P17" t="s">
        <v>62</v>
      </c>
      <c r="Q17" t="s">
        <v>62</v>
      </c>
    </row>
    <row r="18" spans="1:18" customHeight="1" ht="58">
      <c r="A18" s="16"/>
      <c r="B18" s="18" t="s">
        <v>63</v>
      </c>
      <c r="C18" s="17" t="s">
        <v>67</v>
      </c>
      <c r="D18" s="17"/>
      <c r="E18" s="17"/>
      <c r="F18" s="19"/>
      <c r="G18" s="20">
        <v>1.0</v>
      </c>
      <c r="H18" s="21"/>
      <c r="I18" s="21">
        <v>1266.0</v>
      </c>
      <c r="J18" s="22">
        <v>1.0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68</v>
      </c>
      <c r="P18" t="s">
        <v>66</v>
      </c>
      <c r="Q18" t="s">
        <v>66</v>
      </c>
    </row>
    <row r="19" spans="1:18" customHeight="1" ht="58">
      <c r="A19" s="16"/>
      <c r="B19" s="18" t="s">
        <v>70</v>
      </c>
      <c r="C19" s="17" t="s">
        <v>71</v>
      </c>
      <c r="D19" s="17"/>
      <c r="E19" s="17"/>
      <c r="F19" s="19"/>
      <c r="G19" s="20">
        <v>1.0</v>
      </c>
      <c r="H19" s="21"/>
      <c r="I19" s="21">
        <v>323.0</v>
      </c>
      <c r="J19" s="22">
        <v>4.0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72</v>
      </c>
      <c r="P19" t="s">
        <v>69</v>
      </c>
      <c r="Q19" t="s">
        <v>69</v>
      </c>
    </row>
    <row r="20" spans="1:18" customHeight="1" ht="58">
      <c r="A20" s="16"/>
      <c r="B20" s="18" t="s">
        <v>70</v>
      </c>
      <c r="C20" s="17" t="s">
        <v>74</v>
      </c>
      <c r="D20" s="17"/>
      <c r="E20" s="17"/>
      <c r="F20" s="19"/>
      <c r="G20" s="20">
        <v>1.0</v>
      </c>
      <c r="H20" s="21"/>
      <c r="I20" s="21">
        <v>323.0</v>
      </c>
      <c r="J20" s="22">
        <v>2.0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75</v>
      </c>
      <c r="P20" t="s">
        <v>73</v>
      </c>
      <c r="Q20" t="s">
        <v>73</v>
      </c>
    </row>
    <row r="21" spans="1:18" customHeight="1" ht="58">
      <c r="A21" s="16"/>
      <c r="B21" s="18" t="s">
        <v>77</v>
      </c>
      <c r="C21" s="17" t="s">
        <v>78</v>
      </c>
      <c r="D21" s="17"/>
      <c r="E21" s="17"/>
      <c r="F21" s="19"/>
      <c r="G21" s="20">
        <v>1.0</v>
      </c>
      <c r="H21" s="21"/>
      <c r="I21" s="21">
        <v>809.0</v>
      </c>
      <c r="J21" s="22">
        <v>4.0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79</v>
      </c>
      <c r="P21" t="s">
        <v>76</v>
      </c>
      <c r="Q21" t="s">
        <v>76</v>
      </c>
    </row>
    <row r="22" spans="1:18" customHeight="1" ht="58">
      <c r="A22" s="16"/>
      <c r="B22" s="18" t="s">
        <v>81</v>
      </c>
      <c r="C22" s="17" t="s">
        <v>82</v>
      </c>
      <c r="D22" s="17"/>
      <c r="E22" s="17"/>
      <c r="F22" s="19"/>
      <c r="G22" s="20">
        <v>1.0</v>
      </c>
      <c r="H22" s="21"/>
      <c r="I22" s="21">
        <v>401.0</v>
      </c>
      <c r="J22" s="22">
        <v>5.0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83</v>
      </c>
      <c r="P22" t="s">
        <v>80</v>
      </c>
      <c r="Q22" t="s">
        <v>80</v>
      </c>
    </row>
    <row r="23" spans="1:18" customHeight="1" ht="58">
      <c r="A23" s="16"/>
      <c r="B23" s="18" t="s">
        <v>85</v>
      </c>
      <c r="C23" s="17" t="s">
        <v>86</v>
      </c>
      <c r="D23" s="17"/>
      <c r="E23" s="17" t="s">
        <v>87</v>
      </c>
      <c r="F23" s="19"/>
      <c r="G23" s="20">
        <v>1.0</v>
      </c>
      <c r="H23" s="21"/>
      <c r="I23" s="21">
        <v>145.0</v>
      </c>
      <c r="J23" s="22">
        <v>23.0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88</v>
      </c>
      <c r="P23" t="s">
        <v>84</v>
      </c>
      <c r="Q23" t="s">
        <v>84</v>
      </c>
    </row>
    <row r="24" spans="1:18" customHeight="1" ht="58">
      <c r="A24" s="16"/>
      <c r="B24" s="18" t="s">
        <v>90</v>
      </c>
      <c r="C24" s="17" t="s">
        <v>86</v>
      </c>
      <c r="D24" s="17"/>
      <c r="E24" s="17" t="s">
        <v>91</v>
      </c>
      <c r="F24" s="19"/>
      <c r="G24" s="20">
        <v>1.0</v>
      </c>
      <c r="H24" s="21"/>
      <c r="I24" s="21">
        <v>180.0</v>
      </c>
      <c r="J24" s="22">
        <v>11.0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92</v>
      </c>
      <c r="P24" t="s">
        <v>89</v>
      </c>
      <c r="Q24" t="s">
        <v>89</v>
      </c>
    </row>
    <row r="25" spans="1:18" customHeight="1" ht="58">
      <c r="A25" s="16"/>
      <c r="B25" s="18" t="s">
        <v>94</v>
      </c>
      <c r="C25" s="17" t="s">
        <v>86</v>
      </c>
      <c r="D25" s="17"/>
      <c r="E25" s="17" t="s">
        <v>95</v>
      </c>
      <c r="F25" s="19"/>
      <c r="G25" s="20">
        <v>1.0</v>
      </c>
      <c r="H25" s="21"/>
      <c r="I25" s="21">
        <v>578.0</v>
      </c>
      <c r="J25" s="22">
        <v>3.0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96</v>
      </c>
      <c r="P25" t="s">
        <v>93</v>
      </c>
      <c r="Q25" t="s">
        <v>93</v>
      </c>
    </row>
    <row r="26" spans="1:18" customHeight="1" ht="58">
      <c r="A26" s="16"/>
      <c r="B26" s="18" t="s">
        <v>98</v>
      </c>
      <c r="C26" s="17" t="s">
        <v>86</v>
      </c>
      <c r="D26" s="17"/>
      <c r="E26" s="17" t="s">
        <v>99</v>
      </c>
      <c r="F26" s="19"/>
      <c r="G26" s="20">
        <v>1.0</v>
      </c>
      <c r="H26" s="21"/>
      <c r="I26" s="21">
        <v>54.0</v>
      </c>
      <c r="J26" s="22">
        <v>3.0</v>
      </c>
      <c r="K26" s="50"/>
      <c r="L26" s="21" t="str">
        <f>IF(K26&gt;0,K26*I26,"")</f>
      </c>
      <c r="M26" s="52"/>
      <c r="N26" t="str">
        <f>IF(K26&gt;0,COUNTIF($K$7:K26,"&gt;0"),"")</f>
      </c>
      <c r="P26" t="s">
        <v>97</v>
      </c>
      <c r="Q26" t="s">
        <v>97</v>
      </c>
    </row>
    <row r="27" spans="1:18" customHeight="1" ht="58">
      <c r="A27" s="16"/>
      <c r="B27" s="18" t="s">
        <v>101</v>
      </c>
      <c r="C27" s="17" t="s">
        <v>86</v>
      </c>
      <c r="D27" s="17" t="s">
        <v>102</v>
      </c>
      <c r="E27" s="17" t="s">
        <v>103</v>
      </c>
      <c r="F27" s="19"/>
      <c r="G27" s="20">
        <v>1.0</v>
      </c>
      <c r="H27" s="21"/>
      <c r="I27" s="21">
        <v>72.0</v>
      </c>
      <c r="J27" s="22">
        <v>6.0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104</v>
      </c>
      <c r="P27" t="s">
        <v>100</v>
      </c>
      <c r="Q27" t="s">
        <v>100</v>
      </c>
    </row>
    <row r="28" spans="1:18" customHeight="1" ht="58">
      <c r="A28" s="16"/>
      <c r="B28" s="18" t="s">
        <v>106</v>
      </c>
      <c r="C28" s="17" t="s">
        <v>86</v>
      </c>
      <c r="D28" s="17" t="s">
        <v>29</v>
      </c>
      <c r="E28" s="17" t="s">
        <v>107</v>
      </c>
      <c r="F28" s="19"/>
      <c r="G28" s="20">
        <v>1.0</v>
      </c>
      <c r="H28" s="21"/>
      <c r="I28" s="21">
        <v>94.0</v>
      </c>
      <c r="J28" s="22">
        <v>218.0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108</v>
      </c>
      <c r="P28" t="s">
        <v>105</v>
      </c>
      <c r="Q28" t="s">
        <v>105</v>
      </c>
    </row>
    <row r="29" spans="1:18" customHeight="1" ht="58">
      <c r="A29" s="16"/>
      <c r="B29" s="18" t="s">
        <v>110</v>
      </c>
      <c r="C29" s="17" t="s">
        <v>86</v>
      </c>
      <c r="D29" s="17" t="s">
        <v>111</v>
      </c>
      <c r="E29" s="17" t="s">
        <v>112</v>
      </c>
      <c r="F29" s="19"/>
      <c r="G29" s="20">
        <v>1.0</v>
      </c>
      <c r="H29" s="21"/>
      <c r="I29" s="21">
        <v>133.0</v>
      </c>
      <c r="J29" s="22">
        <v>41.0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113</v>
      </c>
      <c r="P29" t="s">
        <v>109</v>
      </c>
      <c r="Q29" t="s">
        <v>109</v>
      </c>
    </row>
    <row r="30" spans="1:18" customHeight="1" ht="58">
      <c r="A30" s="16"/>
      <c r="B30" s="18" t="s">
        <v>110</v>
      </c>
      <c r="C30" s="17" t="s">
        <v>86</v>
      </c>
      <c r="D30" s="17" t="s">
        <v>115</v>
      </c>
      <c r="E30" s="17" t="s">
        <v>112</v>
      </c>
      <c r="F30" s="19"/>
      <c r="G30" s="20">
        <v>1.0</v>
      </c>
      <c r="H30" s="21"/>
      <c r="I30" s="21">
        <v>133.0</v>
      </c>
      <c r="J30" s="22">
        <v>2.0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116</v>
      </c>
      <c r="P30" t="s">
        <v>114</v>
      </c>
      <c r="Q30" t="s">
        <v>114</v>
      </c>
    </row>
    <row r="31" spans="1:18" customHeight="1" ht="58">
      <c r="A31" s="16"/>
      <c r="B31" s="18" t="s">
        <v>110</v>
      </c>
      <c r="C31" s="17" t="s">
        <v>86</v>
      </c>
      <c r="D31" s="17" t="s">
        <v>118</v>
      </c>
      <c r="E31" s="17" t="s">
        <v>112</v>
      </c>
      <c r="F31" s="19"/>
      <c r="G31" s="20">
        <v>1.0</v>
      </c>
      <c r="H31" s="21"/>
      <c r="I31" s="21">
        <v>133.0</v>
      </c>
      <c r="J31" s="22">
        <v>142.0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119</v>
      </c>
      <c r="P31" t="s">
        <v>117</v>
      </c>
      <c r="Q31" t="s">
        <v>117</v>
      </c>
    </row>
    <row r="32" spans="1:18" customHeight="1" ht="58">
      <c r="A32" s="16"/>
      <c r="B32" s="18" t="s">
        <v>110</v>
      </c>
      <c r="C32" s="17" t="s">
        <v>86</v>
      </c>
      <c r="D32" s="17" t="s">
        <v>121</v>
      </c>
      <c r="E32" s="17" t="s">
        <v>112</v>
      </c>
      <c r="F32" s="19"/>
      <c r="G32" s="20">
        <v>1.0</v>
      </c>
      <c r="H32" s="21"/>
      <c r="I32" s="21">
        <v>133.0</v>
      </c>
      <c r="J32" s="22">
        <v>1.0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122</v>
      </c>
      <c r="P32" t="s">
        <v>120</v>
      </c>
      <c r="Q32" t="s">
        <v>120</v>
      </c>
    </row>
    <row r="33" spans="1:18" customHeight="1" ht="58">
      <c r="A33" s="16"/>
      <c r="B33" s="18" t="s">
        <v>110</v>
      </c>
      <c r="C33" s="17" t="s">
        <v>86</v>
      </c>
      <c r="D33" s="17" t="s">
        <v>124</v>
      </c>
      <c r="E33" s="17" t="s">
        <v>112</v>
      </c>
      <c r="F33" s="19"/>
      <c r="G33" s="20">
        <v>1.0</v>
      </c>
      <c r="H33" s="21"/>
      <c r="I33" s="21">
        <v>133.0</v>
      </c>
      <c r="J33" s="22">
        <v>13.0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125</v>
      </c>
      <c r="P33" t="s">
        <v>123</v>
      </c>
      <c r="Q33" t="s">
        <v>123</v>
      </c>
    </row>
    <row r="34" spans="1:18" customHeight="1" ht="58">
      <c r="A34" s="16"/>
      <c r="B34" s="18" t="s">
        <v>127</v>
      </c>
      <c r="C34" s="17" t="s">
        <v>86</v>
      </c>
      <c r="D34" s="17" t="s">
        <v>128</v>
      </c>
      <c r="E34" s="17"/>
      <c r="F34" s="19"/>
      <c r="G34" s="20">
        <v>1.0</v>
      </c>
      <c r="H34" s="21"/>
      <c r="I34" s="21">
        <v>218.0</v>
      </c>
      <c r="J34" s="22">
        <v>245.0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129</v>
      </c>
      <c r="P34" t="s">
        <v>126</v>
      </c>
      <c r="Q34" t="s">
        <v>126</v>
      </c>
    </row>
    <row r="35" spans="1:18" customHeight="1" ht="58">
      <c r="A35" s="16"/>
      <c r="B35" s="18" t="s">
        <v>127</v>
      </c>
      <c r="C35" s="17" t="s">
        <v>86</v>
      </c>
      <c r="D35" s="17" t="s">
        <v>131</v>
      </c>
      <c r="E35" s="17"/>
      <c r="F35" s="19"/>
      <c r="G35" s="20">
        <v>1.0</v>
      </c>
      <c r="H35" s="21"/>
      <c r="I35" s="21">
        <v>218.0</v>
      </c>
      <c r="J35" s="22">
        <v>264.0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132</v>
      </c>
      <c r="P35" t="s">
        <v>130</v>
      </c>
      <c r="Q35" t="s">
        <v>130</v>
      </c>
    </row>
    <row r="36" spans="1:18" customHeight="1" ht="58">
      <c r="A36" s="16"/>
      <c r="B36" s="18" t="s">
        <v>134</v>
      </c>
      <c r="C36" s="17" t="s">
        <v>86</v>
      </c>
      <c r="D36" s="17" t="s">
        <v>135</v>
      </c>
      <c r="E36" s="17"/>
      <c r="F36" s="19"/>
      <c r="G36" s="20">
        <v>1.0</v>
      </c>
      <c r="H36" s="21"/>
      <c r="I36" s="21">
        <v>284.0</v>
      </c>
      <c r="J36" s="22">
        <v>1.0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136</v>
      </c>
      <c r="P36" t="s">
        <v>133</v>
      </c>
      <c r="Q36" t="s">
        <v>133</v>
      </c>
    </row>
    <row r="37" spans="1:18" customHeight="1" ht="58">
      <c r="A37" s="16"/>
      <c r="B37" s="18" t="s">
        <v>138</v>
      </c>
      <c r="C37" s="17" t="s">
        <v>86</v>
      </c>
      <c r="D37" s="17" t="s">
        <v>139</v>
      </c>
      <c r="E37" s="17"/>
      <c r="F37" s="19"/>
      <c r="G37" s="20">
        <v>1.0</v>
      </c>
      <c r="H37" s="21"/>
      <c r="I37" s="21">
        <v>393.0</v>
      </c>
      <c r="J37" s="22">
        <v>11.0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140</v>
      </c>
      <c r="P37" t="s">
        <v>137</v>
      </c>
      <c r="Q37" t="s">
        <v>137</v>
      </c>
    </row>
    <row r="38" spans="1:18" customHeight="1" ht="58">
      <c r="A38" s="16"/>
      <c r="B38" s="18" t="s">
        <v>142</v>
      </c>
      <c r="C38" s="17" t="s">
        <v>86</v>
      </c>
      <c r="D38" s="17" t="s">
        <v>143</v>
      </c>
      <c r="E38" s="17"/>
      <c r="F38" s="19"/>
      <c r="G38" s="20">
        <v>1.0</v>
      </c>
      <c r="H38" s="21"/>
      <c r="I38" s="21">
        <v>440.0</v>
      </c>
      <c r="J38" s="22">
        <v>124.0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144</v>
      </c>
      <c r="P38" t="s">
        <v>141</v>
      </c>
      <c r="Q38" t="s">
        <v>141</v>
      </c>
    </row>
    <row r="39" spans="1:18" customHeight="1" ht="58">
      <c r="A39" s="16"/>
      <c r="B39" s="18" t="s">
        <v>142</v>
      </c>
      <c r="C39" s="17" t="s">
        <v>86</v>
      </c>
      <c r="D39" s="17" t="s">
        <v>146</v>
      </c>
      <c r="E39" s="17"/>
      <c r="F39" s="19"/>
      <c r="G39" s="20">
        <v>1.0</v>
      </c>
      <c r="H39" s="21"/>
      <c r="I39" s="21">
        <v>440.0</v>
      </c>
      <c r="J39" s="22">
        <v>99.0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147</v>
      </c>
      <c r="P39" t="s">
        <v>145</v>
      </c>
      <c r="Q39" t="s">
        <v>145</v>
      </c>
    </row>
    <row r="40" spans="1:18" customHeight="1" ht="58">
      <c r="A40" s="16"/>
      <c r="B40" s="18" t="s">
        <v>142</v>
      </c>
      <c r="C40" s="17" t="s">
        <v>86</v>
      </c>
      <c r="D40" s="17" t="s">
        <v>149</v>
      </c>
      <c r="E40" s="17"/>
      <c r="F40" s="19"/>
      <c r="G40" s="20">
        <v>1.0</v>
      </c>
      <c r="H40" s="21"/>
      <c r="I40" s="21">
        <v>440.0</v>
      </c>
      <c r="J40" s="22">
        <v>136.0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150</v>
      </c>
      <c r="P40" t="s">
        <v>148</v>
      </c>
      <c r="Q40" t="s">
        <v>148</v>
      </c>
    </row>
    <row r="41" spans="1:18" customHeight="1" ht="58">
      <c r="A41" s="16"/>
      <c r="B41" s="18" t="s">
        <v>142</v>
      </c>
      <c r="C41" s="17" t="s">
        <v>86</v>
      </c>
      <c r="D41" s="17" t="s">
        <v>152</v>
      </c>
      <c r="E41" s="17"/>
      <c r="F41" s="19"/>
      <c r="G41" s="20">
        <v>1.0</v>
      </c>
      <c r="H41" s="21"/>
      <c r="I41" s="21">
        <v>440.0</v>
      </c>
      <c r="J41" s="22">
        <v>138.0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153</v>
      </c>
      <c r="P41" t="s">
        <v>151</v>
      </c>
      <c r="Q41" t="s">
        <v>151</v>
      </c>
    </row>
    <row r="42" spans="1:18" customHeight="1" ht="58">
      <c r="A42" s="16"/>
      <c r="B42" s="18" t="s">
        <v>155</v>
      </c>
      <c r="C42" s="17" t="s">
        <v>86</v>
      </c>
      <c r="D42" s="17" t="s">
        <v>156</v>
      </c>
      <c r="E42" s="17"/>
      <c r="F42" s="19"/>
      <c r="G42" s="20">
        <v>1.0</v>
      </c>
      <c r="H42" s="21"/>
      <c r="I42" s="21">
        <v>476.0</v>
      </c>
      <c r="J42" s="22">
        <v>255.0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157</v>
      </c>
      <c r="P42" t="s">
        <v>154</v>
      </c>
      <c r="Q42" t="s">
        <v>154</v>
      </c>
    </row>
    <row r="43" spans="1:18" customHeight="1" ht="58">
      <c r="A43" s="16"/>
      <c r="B43" s="18" t="s">
        <v>155</v>
      </c>
      <c r="C43" s="17" t="s">
        <v>86</v>
      </c>
      <c r="D43" s="17" t="s">
        <v>159</v>
      </c>
      <c r="E43" s="17"/>
      <c r="F43" s="19"/>
      <c r="G43" s="20">
        <v>1.0</v>
      </c>
      <c r="H43" s="21"/>
      <c r="I43" s="21">
        <v>476.0</v>
      </c>
      <c r="J43" s="22">
        <v>387.0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160</v>
      </c>
      <c r="P43" t="s">
        <v>158</v>
      </c>
      <c r="Q43" t="s">
        <v>158</v>
      </c>
    </row>
    <row r="44" spans="1:18" customHeight="1" ht="58">
      <c r="A44" s="16"/>
      <c r="B44" s="18" t="s">
        <v>155</v>
      </c>
      <c r="C44" s="17" t="s">
        <v>86</v>
      </c>
      <c r="D44" s="17" t="s">
        <v>162</v>
      </c>
      <c r="E44" s="17"/>
      <c r="F44" s="19"/>
      <c r="G44" s="20">
        <v>1.0</v>
      </c>
      <c r="H44" s="21"/>
      <c r="I44" s="21">
        <v>476.0</v>
      </c>
      <c r="J44" s="22">
        <v>127.0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163</v>
      </c>
      <c r="P44" t="s">
        <v>161</v>
      </c>
      <c r="Q44" t="s">
        <v>161</v>
      </c>
    </row>
    <row r="45" spans="1:18" customHeight="1" ht="58">
      <c r="A45" s="16"/>
      <c r="B45" s="18" t="s">
        <v>165</v>
      </c>
      <c r="C45" s="17" t="s">
        <v>86</v>
      </c>
      <c r="D45" s="17" t="s">
        <v>166</v>
      </c>
      <c r="E45" s="17"/>
      <c r="F45" s="19"/>
      <c r="G45" s="20">
        <v>1.0</v>
      </c>
      <c r="H45" s="21"/>
      <c r="I45" s="21">
        <v>98.0</v>
      </c>
      <c r="J45" s="22">
        <v>180.0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167</v>
      </c>
      <c r="P45" t="s">
        <v>164</v>
      </c>
      <c r="Q45" t="s">
        <v>164</v>
      </c>
    </row>
    <row r="46" spans="1:18" customHeight="1" ht="58">
      <c r="A46" s="16"/>
      <c r="B46" s="18" t="s">
        <v>169</v>
      </c>
      <c r="C46" s="17" t="s">
        <v>86</v>
      </c>
      <c r="D46" s="17" t="s">
        <v>170</v>
      </c>
      <c r="E46" s="17"/>
      <c r="F46" s="19"/>
      <c r="G46" s="20">
        <v>1.0</v>
      </c>
      <c r="H46" s="21"/>
      <c r="I46" s="21">
        <v>251.0</v>
      </c>
      <c r="J46" s="22">
        <v>171.0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171</v>
      </c>
      <c r="P46" t="s">
        <v>168</v>
      </c>
      <c r="Q46" t="s">
        <v>168</v>
      </c>
    </row>
    <row r="47" spans="1:18" customHeight="1" ht="58">
      <c r="A47" s="16"/>
      <c r="B47" s="18" t="s">
        <v>169</v>
      </c>
      <c r="C47" s="17" t="s">
        <v>86</v>
      </c>
      <c r="D47" s="17" t="s">
        <v>173</v>
      </c>
      <c r="E47" s="17"/>
      <c r="F47" s="19"/>
      <c r="G47" s="20">
        <v>1.0</v>
      </c>
      <c r="H47" s="21"/>
      <c r="I47" s="21">
        <v>251.0</v>
      </c>
      <c r="J47" s="22">
        <v>178.0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174</v>
      </c>
      <c r="P47" t="s">
        <v>172</v>
      </c>
      <c r="Q47" t="s">
        <v>172</v>
      </c>
    </row>
    <row r="48" spans="1:18" customHeight="1" ht="58">
      <c r="A48" s="16"/>
      <c r="B48" s="18" t="s">
        <v>176</v>
      </c>
      <c r="C48" s="17" t="s">
        <v>86</v>
      </c>
      <c r="D48" s="17" t="s">
        <v>177</v>
      </c>
      <c r="E48" s="17"/>
      <c r="F48" s="19"/>
      <c r="G48" s="20">
        <v>1.0</v>
      </c>
      <c r="H48" s="21"/>
      <c r="I48" s="21">
        <v>476.0</v>
      </c>
      <c r="J48" s="22">
        <v>298.0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178</v>
      </c>
      <c r="P48" t="s">
        <v>175</v>
      </c>
      <c r="Q48" t="s">
        <v>175</v>
      </c>
    </row>
    <row r="49" spans="1:18" customHeight="1" ht="58">
      <c r="A49" s="16"/>
      <c r="B49" s="18" t="s">
        <v>176</v>
      </c>
      <c r="C49" s="17" t="s">
        <v>86</v>
      </c>
      <c r="D49" s="17" t="s">
        <v>180</v>
      </c>
      <c r="E49" s="17"/>
      <c r="F49" s="19"/>
      <c r="G49" s="20">
        <v>1.0</v>
      </c>
      <c r="H49" s="21"/>
      <c r="I49" s="21">
        <v>476.0</v>
      </c>
      <c r="J49" s="22">
        <v>293.0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181</v>
      </c>
      <c r="P49" t="s">
        <v>179</v>
      </c>
      <c r="Q49" t="s">
        <v>179</v>
      </c>
    </row>
    <row r="50" spans="1:18" customHeight="1" ht="58">
      <c r="A50" s="16"/>
      <c r="B50" s="18" t="s">
        <v>176</v>
      </c>
      <c r="C50" s="17" t="s">
        <v>86</v>
      </c>
      <c r="D50" s="17" t="s">
        <v>183</v>
      </c>
      <c r="E50" s="17"/>
      <c r="F50" s="19"/>
      <c r="G50" s="20">
        <v>1.0</v>
      </c>
      <c r="H50" s="21"/>
      <c r="I50" s="21">
        <v>476.0</v>
      </c>
      <c r="J50" s="22">
        <v>381.0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184</v>
      </c>
      <c r="P50" t="s">
        <v>182</v>
      </c>
      <c r="Q50" t="s">
        <v>182</v>
      </c>
    </row>
    <row r="51" spans="1:18" customHeight="1" ht="58">
      <c r="A51" s="16"/>
      <c r="B51" s="18" t="s">
        <v>186</v>
      </c>
      <c r="C51" s="17" t="s">
        <v>86</v>
      </c>
      <c r="D51" s="17" t="s">
        <v>187</v>
      </c>
      <c r="E51" s="17"/>
      <c r="F51" s="19"/>
      <c r="G51" s="20">
        <v>1.0</v>
      </c>
      <c r="H51" s="21"/>
      <c r="I51" s="21">
        <v>500.0</v>
      </c>
      <c r="J51" s="22">
        <v>1.0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188</v>
      </c>
      <c r="P51" t="s">
        <v>185</v>
      </c>
      <c r="Q51" t="s">
        <v>185</v>
      </c>
    </row>
    <row r="52" spans="1:18" customHeight="1" ht="58">
      <c r="A52" s="16"/>
      <c r="B52" s="18" t="s">
        <v>190</v>
      </c>
      <c r="C52" s="17" t="s">
        <v>86</v>
      </c>
      <c r="D52" s="17" t="s">
        <v>191</v>
      </c>
      <c r="E52" s="17"/>
      <c r="F52" s="19"/>
      <c r="G52" s="20">
        <v>1.0</v>
      </c>
      <c r="H52" s="21"/>
      <c r="I52" s="21">
        <v>308.0</v>
      </c>
      <c r="J52" s="22">
        <v>8.0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192</v>
      </c>
      <c r="P52" t="s">
        <v>189</v>
      </c>
      <c r="Q52" t="s">
        <v>189</v>
      </c>
    </row>
    <row r="53" spans="1:18" customHeight="1" ht="58">
      <c r="A53" s="16"/>
      <c r="B53" s="18" t="s">
        <v>190</v>
      </c>
      <c r="C53" s="17" t="s">
        <v>86</v>
      </c>
      <c r="D53" s="17" t="s">
        <v>194</v>
      </c>
      <c r="E53" s="17"/>
      <c r="F53" s="19"/>
      <c r="G53" s="20">
        <v>1.0</v>
      </c>
      <c r="H53" s="21"/>
      <c r="I53" s="21">
        <v>247.0</v>
      </c>
      <c r="J53" s="22">
        <v>64.0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195</v>
      </c>
      <c r="P53" t="s">
        <v>193</v>
      </c>
      <c r="Q53" t="s">
        <v>193</v>
      </c>
    </row>
    <row r="54" spans="1:18" customHeight="1" ht="58">
      <c r="A54" s="16"/>
      <c r="B54" s="18" t="s">
        <v>190</v>
      </c>
      <c r="C54" s="17" t="s">
        <v>86</v>
      </c>
      <c r="D54" s="17" t="s">
        <v>197</v>
      </c>
      <c r="E54" s="17"/>
      <c r="F54" s="19"/>
      <c r="G54" s="20">
        <v>1.0</v>
      </c>
      <c r="H54" s="21"/>
      <c r="I54" s="21">
        <v>247.0</v>
      </c>
      <c r="J54" s="22">
        <v>505.0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198</v>
      </c>
      <c r="P54" t="s">
        <v>196</v>
      </c>
      <c r="Q54" t="s">
        <v>196</v>
      </c>
    </row>
    <row r="55" spans="1:18" customHeight="1" ht="58">
      <c r="A55" s="16"/>
      <c r="B55" s="18" t="s">
        <v>190</v>
      </c>
      <c r="C55" s="17" t="s">
        <v>86</v>
      </c>
      <c r="D55" s="17" t="s">
        <v>200</v>
      </c>
      <c r="E55" s="17"/>
      <c r="F55" s="19"/>
      <c r="G55" s="20">
        <v>1.0</v>
      </c>
      <c r="H55" s="21"/>
      <c r="I55" s="21">
        <v>247.0</v>
      </c>
      <c r="J55" s="22">
        <v>135.0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201</v>
      </c>
      <c r="P55" t="s">
        <v>199</v>
      </c>
      <c r="Q55" t="s">
        <v>199</v>
      </c>
    </row>
    <row r="56" spans="1:18" customHeight="1" ht="58">
      <c r="A56" s="16"/>
      <c r="B56" s="18" t="s">
        <v>190</v>
      </c>
      <c r="C56" s="17" t="s">
        <v>86</v>
      </c>
      <c r="D56" s="17" t="s">
        <v>203</v>
      </c>
      <c r="E56" s="17"/>
      <c r="F56" s="19"/>
      <c r="G56" s="20">
        <v>1.0</v>
      </c>
      <c r="H56" s="21"/>
      <c r="I56" s="21">
        <v>308.0</v>
      </c>
      <c r="J56" s="22">
        <v>3.0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204</v>
      </c>
      <c r="P56" t="s">
        <v>202</v>
      </c>
      <c r="Q56" t="s">
        <v>202</v>
      </c>
    </row>
    <row r="57" spans="1:18" customHeight="1" ht="58">
      <c r="A57" s="16"/>
      <c r="B57" s="18" t="s">
        <v>190</v>
      </c>
      <c r="C57" s="17" t="s">
        <v>86</v>
      </c>
      <c r="D57" s="17" t="s">
        <v>206</v>
      </c>
      <c r="E57" s="17"/>
      <c r="F57" s="19"/>
      <c r="G57" s="20">
        <v>1.0</v>
      </c>
      <c r="H57" s="21"/>
      <c r="I57" s="21">
        <v>308.0</v>
      </c>
      <c r="J57" s="22">
        <v>2.0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207</v>
      </c>
      <c r="P57" t="s">
        <v>205</v>
      </c>
      <c r="Q57" t="s">
        <v>205</v>
      </c>
    </row>
    <row r="58" spans="1:18" customHeight="1" ht="58">
      <c r="A58" s="16"/>
      <c r="B58" s="18" t="s">
        <v>190</v>
      </c>
      <c r="C58" s="17" t="s">
        <v>86</v>
      </c>
      <c r="D58" s="17" t="s">
        <v>209</v>
      </c>
      <c r="E58" s="17"/>
      <c r="F58" s="19"/>
      <c r="G58" s="20">
        <v>1.0</v>
      </c>
      <c r="H58" s="21"/>
      <c r="I58" s="21">
        <v>308.0</v>
      </c>
      <c r="J58" s="22">
        <v>1.0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210</v>
      </c>
      <c r="P58" t="s">
        <v>208</v>
      </c>
      <c r="Q58" t="s">
        <v>208</v>
      </c>
    </row>
    <row r="59" spans="1:18" customHeight="1" ht="58">
      <c r="A59" s="16"/>
      <c r="B59" s="18" t="s">
        <v>212</v>
      </c>
      <c r="C59" s="17" t="s">
        <v>86</v>
      </c>
      <c r="D59" s="17" t="s">
        <v>213</v>
      </c>
      <c r="E59" s="17"/>
      <c r="F59" s="19"/>
      <c r="G59" s="20">
        <v>1.0</v>
      </c>
      <c r="H59" s="21"/>
      <c r="I59" s="21">
        <v>54.0</v>
      </c>
      <c r="J59" s="22">
        <v>370.0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214</v>
      </c>
      <c r="P59" t="s">
        <v>211</v>
      </c>
      <c r="Q59" t="s">
        <v>211</v>
      </c>
    </row>
    <row r="60" spans="1:18" customHeight="1" ht="58">
      <c r="A60" s="16"/>
      <c r="B60" s="18" t="s">
        <v>212</v>
      </c>
      <c r="C60" s="17" t="s">
        <v>86</v>
      </c>
      <c r="D60" s="17" t="s">
        <v>216</v>
      </c>
      <c r="E60" s="17"/>
      <c r="F60" s="19"/>
      <c r="G60" s="20">
        <v>1.0</v>
      </c>
      <c r="H60" s="21"/>
      <c r="I60" s="21">
        <v>54.0</v>
      </c>
      <c r="J60" s="22">
        <v>314.0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217</v>
      </c>
      <c r="P60" t="s">
        <v>215</v>
      </c>
      <c r="Q60" t="s">
        <v>215</v>
      </c>
    </row>
    <row r="61" spans="1:18" customHeight="1" ht="58">
      <c r="A61" s="16"/>
      <c r="B61" s="18" t="s">
        <v>212</v>
      </c>
      <c r="C61" s="17" t="s">
        <v>86</v>
      </c>
      <c r="D61" s="17" t="s">
        <v>219</v>
      </c>
      <c r="E61" s="17"/>
      <c r="F61" s="19"/>
      <c r="G61" s="20">
        <v>1.0</v>
      </c>
      <c r="H61" s="21"/>
      <c r="I61" s="21">
        <v>54.0</v>
      </c>
      <c r="J61" s="22">
        <v>375.0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220</v>
      </c>
      <c r="P61" t="s">
        <v>218</v>
      </c>
      <c r="Q61" t="s">
        <v>218</v>
      </c>
    </row>
    <row r="62" spans="1:18" customHeight="1" ht="58">
      <c r="A62" s="16"/>
      <c r="B62" s="18" t="s">
        <v>212</v>
      </c>
      <c r="C62" s="17" t="s">
        <v>86</v>
      </c>
      <c r="D62" s="17" t="s">
        <v>222</v>
      </c>
      <c r="E62" s="17"/>
      <c r="F62" s="19"/>
      <c r="G62" s="20">
        <v>1.0</v>
      </c>
      <c r="H62" s="21"/>
      <c r="I62" s="21">
        <v>54.0</v>
      </c>
      <c r="J62" s="22">
        <v>734.0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223</v>
      </c>
      <c r="P62" t="s">
        <v>221</v>
      </c>
      <c r="Q62" t="s">
        <v>221</v>
      </c>
    </row>
    <row r="63" spans="1:18" customHeight="1" ht="58">
      <c r="A63" s="16"/>
      <c r="B63" s="18" t="s">
        <v>225</v>
      </c>
      <c r="C63" s="17" t="s">
        <v>86</v>
      </c>
      <c r="D63" s="17" t="s">
        <v>226</v>
      </c>
      <c r="E63" s="17"/>
      <c r="F63" s="19"/>
      <c r="G63" s="20">
        <v>1.0</v>
      </c>
      <c r="H63" s="21"/>
      <c r="I63" s="21">
        <v>308.0</v>
      </c>
      <c r="J63" s="22">
        <v>222.0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227</v>
      </c>
      <c r="P63" t="s">
        <v>224</v>
      </c>
      <c r="Q63" t="s">
        <v>224</v>
      </c>
    </row>
    <row r="64" spans="1:18" customHeight="1" ht="58">
      <c r="A64" s="16"/>
      <c r="B64" s="18" t="s">
        <v>225</v>
      </c>
      <c r="C64" s="17" t="s">
        <v>86</v>
      </c>
      <c r="D64" s="17" t="s">
        <v>229</v>
      </c>
      <c r="E64" s="17"/>
      <c r="F64" s="19"/>
      <c r="G64" s="20">
        <v>1.0</v>
      </c>
      <c r="H64" s="21"/>
      <c r="I64" s="21">
        <v>308.0</v>
      </c>
      <c r="J64" s="22">
        <v>121.0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230</v>
      </c>
      <c r="P64" t="s">
        <v>228</v>
      </c>
      <c r="Q64" t="s">
        <v>228</v>
      </c>
    </row>
    <row r="65" spans="1:18" customHeight="1" ht="58">
      <c r="A65" s="16"/>
      <c r="B65" s="18" t="s">
        <v>225</v>
      </c>
      <c r="C65" s="17" t="s">
        <v>86</v>
      </c>
      <c r="D65" s="17" t="s">
        <v>232</v>
      </c>
      <c r="E65" s="17"/>
      <c r="F65" s="19"/>
      <c r="G65" s="20">
        <v>1.0</v>
      </c>
      <c r="H65" s="21"/>
      <c r="I65" s="21">
        <v>308.0</v>
      </c>
      <c r="J65" s="22">
        <v>269.0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233</v>
      </c>
      <c r="P65" t="s">
        <v>231</v>
      </c>
      <c r="Q65" t="s">
        <v>231</v>
      </c>
    </row>
    <row r="66" spans="1:18" customHeight="1" ht="58">
      <c r="A66" s="16"/>
      <c r="B66" s="18" t="s">
        <v>225</v>
      </c>
      <c r="C66" s="17" t="s">
        <v>86</v>
      </c>
      <c r="D66" s="17" t="s">
        <v>235</v>
      </c>
      <c r="E66" s="17"/>
      <c r="F66" s="19"/>
      <c r="G66" s="20">
        <v>1.0</v>
      </c>
      <c r="H66" s="21"/>
      <c r="I66" s="21">
        <v>308.0</v>
      </c>
      <c r="J66" s="22">
        <v>270.0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236</v>
      </c>
      <c r="P66" t="s">
        <v>234</v>
      </c>
      <c r="Q66" t="s">
        <v>234</v>
      </c>
    </row>
    <row r="67" spans="1:18" customHeight="1" ht="58">
      <c r="A67" s="16"/>
      <c r="B67" s="18" t="s">
        <v>225</v>
      </c>
      <c r="C67" s="17" t="s">
        <v>86</v>
      </c>
      <c r="D67" s="17" t="s">
        <v>238</v>
      </c>
      <c r="E67" s="17"/>
      <c r="F67" s="19"/>
      <c r="G67" s="20">
        <v>1.0</v>
      </c>
      <c r="H67" s="21"/>
      <c r="I67" s="21">
        <v>308.0</v>
      </c>
      <c r="J67" s="22">
        <v>261.0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239</v>
      </c>
      <c r="P67" t="s">
        <v>237</v>
      </c>
      <c r="Q67" t="s">
        <v>237</v>
      </c>
    </row>
    <row r="68" spans="1:18" customHeight="1" ht="58">
      <c r="A68" s="16"/>
      <c r="B68" s="18" t="s">
        <v>225</v>
      </c>
      <c r="C68" s="17" t="s">
        <v>86</v>
      </c>
      <c r="D68" s="17" t="s">
        <v>241</v>
      </c>
      <c r="E68" s="17"/>
      <c r="F68" s="19"/>
      <c r="G68" s="20">
        <v>1.0</v>
      </c>
      <c r="H68" s="21"/>
      <c r="I68" s="21">
        <v>308.0</v>
      </c>
      <c r="J68" s="22">
        <v>264.0</v>
      </c>
      <c r="K68" s="50"/>
      <c r="L68" s="21" t="str">
        <f>IF(K68&gt;0,K68*I68,"")</f>
      </c>
      <c r="M68" s="52"/>
      <c r="N68" t="str">
        <f>IF(K68&gt;0,COUNTIF($K$7:K68,"&gt;0"),"")</f>
      </c>
      <c r="O68" t="s">
        <v>242</v>
      </c>
      <c r="P68" t="s">
        <v>240</v>
      </c>
      <c r="Q68" t="s">
        <v>240</v>
      </c>
    </row>
    <row r="69" spans="1:18" customHeight="1" ht="58">
      <c r="A69" s="16"/>
      <c r="B69" s="18" t="s">
        <v>244</v>
      </c>
      <c r="C69" s="17" t="s">
        <v>86</v>
      </c>
      <c r="D69" s="17" t="s">
        <v>245</v>
      </c>
      <c r="E69" s="17"/>
      <c r="F69" s="19"/>
      <c r="G69" s="20">
        <v>1.0</v>
      </c>
      <c r="H69" s="21"/>
      <c r="I69" s="21">
        <v>467.0</v>
      </c>
      <c r="J69" s="22">
        <v>166.0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246</v>
      </c>
      <c r="P69" t="s">
        <v>243</v>
      </c>
      <c r="Q69" t="s">
        <v>243</v>
      </c>
    </row>
    <row r="70" spans="1:18" customHeight="1" ht="58">
      <c r="A70" s="16"/>
      <c r="B70" s="18" t="s">
        <v>244</v>
      </c>
      <c r="C70" s="17" t="s">
        <v>86</v>
      </c>
      <c r="D70" s="17" t="s">
        <v>248</v>
      </c>
      <c r="E70" s="17"/>
      <c r="F70" s="19"/>
      <c r="G70" s="20">
        <v>1.0</v>
      </c>
      <c r="H70" s="21"/>
      <c r="I70" s="21">
        <v>467.0</v>
      </c>
      <c r="J70" s="22">
        <v>16.0</v>
      </c>
      <c r="K70" s="50"/>
      <c r="L70" s="21" t="str">
        <f>IF(K70&gt;0,K70*I70,"")</f>
      </c>
      <c r="M70" s="52"/>
      <c r="N70" t="str">
        <f>IF(K70&gt;0,COUNTIF($K$7:K70,"&gt;0"),"")</f>
      </c>
      <c r="O70" t="s">
        <v>249</v>
      </c>
      <c r="P70" t="s">
        <v>247</v>
      </c>
      <c r="Q70" t="s">
        <v>247</v>
      </c>
    </row>
    <row r="71" spans="1:18" customHeight="1" ht="58">
      <c r="A71" s="16"/>
      <c r="B71" s="18" t="s">
        <v>244</v>
      </c>
      <c r="C71" s="17" t="s">
        <v>86</v>
      </c>
      <c r="D71" s="17" t="s">
        <v>251</v>
      </c>
      <c r="E71" s="17"/>
      <c r="F71" s="19"/>
      <c r="G71" s="20">
        <v>1.0</v>
      </c>
      <c r="H71" s="21"/>
      <c r="I71" s="21"/>
      <c r="J71" s="22">
        <v>3.0</v>
      </c>
      <c r="K71" s="50"/>
      <c r="L71" s="21" t="str">
        <f>IF(K71&gt;0,"по запросу","")</f>
      </c>
      <c r="M71" s="52"/>
      <c r="N71" t="str">
        <f>IF(K71&gt;0,COUNTIF($K$7:K71,"&gt;0"),"")</f>
      </c>
      <c r="O71" t="s">
        <v>252</v>
      </c>
      <c r="P71" t="s">
        <v>250</v>
      </c>
      <c r="Q71" t="s">
        <v>250</v>
      </c>
    </row>
    <row r="72" spans="1:18" customHeight="1" ht="58">
      <c r="A72" s="16"/>
      <c r="B72" s="18" t="s">
        <v>244</v>
      </c>
      <c r="C72" s="17" t="s">
        <v>86</v>
      </c>
      <c r="D72" s="17" t="s">
        <v>254</v>
      </c>
      <c r="E72" s="17"/>
      <c r="F72" s="19"/>
      <c r="G72" s="20">
        <v>1.0</v>
      </c>
      <c r="H72" s="21"/>
      <c r="I72" s="21">
        <v>467.0</v>
      </c>
      <c r="J72" s="22">
        <v>2.0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255</v>
      </c>
      <c r="P72" t="s">
        <v>253</v>
      </c>
      <c r="Q72" t="s">
        <v>253</v>
      </c>
    </row>
    <row r="73" spans="1:18" customHeight="1" ht="58">
      <c r="A73" s="16"/>
      <c r="B73" s="18" t="s">
        <v>257</v>
      </c>
      <c r="C73" s="17" t="s">
        <v>86</v>
      </c>
      <c r="D73" s="17" t="s">
        <v>258</v>
      </c>
      <c r="E73" s="17"/>
      <c r="F73" s="19"/>
      <c r="G73" s="20">
        <v>1.0</v>
      </c>
      <c r="H73" s="21"/>
      <c r="I73" s="21">
        <v>235.0</v>
      </c>
      <c r="J73" s="22">
        <v>155.0</v>
      </c>
      <c r="K73" s="50"/>
      <c r="L73" s="21" t="str">
        <f>IF(K73&gt;0,K73*I73,"")</f>
      </c>
      <c r="M73" s="52"/>
      <c r="N73" t="str">
        <f>IF(K73&gt;0,COUNTIF($K$7:K73,"&gt;0"),"")</f>
      </c>
      <c r="O73" t="s">
        <v>259</v>
      </c>
      <c r="P73" t="s">
        <v>256</v>
      </c>
      <c r="Q73" t="s">
        <v>256</v>
      </c>
    </row>
    <row r="74" spans="1:18" customHeight="1" ht="58">
      <c r="A74" s="16"/>
      <c r="B74" s="18" t="s">
        <v>257</v>
      </c>
      <c r="C74" s="17" t="s">
        <v>86</v>
      </c>
      <c r="D74" s="17" t="s">
        <v>261</v>
      </c>
      <c r="E74" s="17"/>
      <c r="F74" s="19"/>
      <c r="G74" s="20">
        <v>1.0</v>
      </c>
      <c r="H74" s="21"/>
      <c r="I74" s="21">
        <v>235.0</v>
      </c>
      <c r="J74" s="22">
        <v>147.0</v>
      </c>
      <c r="K74" s="50"/>
      <c r="L74" s="21" t="str">
        <f>IF(K74&gt;0,K74*I74,"")</f>
      </c>
      <c r="M74" s="52"/>
      <c r="N74" t="str">
        <f>IF(K74&gt;0,COUNTIF($K$7:K74,"&gt;0"),"")</f>
      </c>
      <c r="O74" t="s">
        <v>262</v>
      </c>
      <c r="P74" t="s">
        <v>260</v>
      </c>
      <c r="Q74" t="s">
        <v>260</v>
      </c>
    </row>
    <row r="75" spans="1:18" customHeight="1" ht="58">
      <c r="A75" s="16"/>
      <c r="B75" s="18" t="s">
        <v>257</v>
      </c>
      <c r="C75" s="17" t="s">
        <v>86</v>
      </c>
      <c r="D75" s="17" t="s">
        <v>264</v>
      </c>
      <c r="E75" s="17"/>
      <c r="F75" s="19"/>
      <c r="G75" s="20">
        <v>1.0</v>
      </c>
      <c r="H75" s="21"/>
      <c r="I75" s="21">
        <v>235.0</v>
      </c>
      <c r="J75" s="22">
        <v>124.0</v>
      </c>
      <c r="K75" s="50"/>
      <c r="L75" s="21" t="str">
        <f>IF(K75&gt;0,K75*I75,"")</f>
      </c>
      <c r="M75" s="52"/>
      <c r="N75" t="str">
        <f>IF(K75&gt;0,COUNTIF($K$7:K75,"&gt;0"),"")</f>
      </c>
      <c r="O75" t="s">
        <v>265</v>
      </c>
      <c r="P75" t="s">
        <v>263</v>
      </c>
      <c r="Q75" t="s">
        <v>263</v>
      </c>
    </row>
    <row r="76" spans="1:18" customHeight="1" ht="58">
      <c r="A76" s="16"/>
      <c r="B76" s="18" t="s">
        <v>257</v>
      </c>
      <c r="C76" s="17" t="s">
        <v>86</v>
      </c>
      <c r="D76" s="17" t="s">
        <v>267</v>
      </c>
      <c r="E76" s="17"/>
      <c r="F76" s="19"/>
      <c r="G76" s="20">
        <v>1.0</v>
      </c>
      <c r="H76" s="21"/>
      <c r="I76" s="21">
        <v>235.0</v>
      </c>
      <c r="J76" s="22">
        <v>197.0</v>
      </c>
      <c r="K76" s="50"/>
      <c r="L76" s="21" t="str">
        <f>IF(K76&gt;0,K76*I76,"")</f>
      </c>
      <c r="M76" s="52"/>
      <c r="N76" t="str">
        <f>IF(K76&gt;0,COUNTIF($K$7:K76,"&gt;0"),"")</f>
      </c>
      <c r="O76" t="s">
        <v>268</v>
      </c>
      <c r="P76" t="s">
        <v>266</v>
      </c>
      <c r="Q76" t="s">
        <v>266</v>
      </c>
    </row>
    <row r="77" spans="1:18" customHeight="1" ht="58">
      <c r="A77" s="16"/>
      <c r="B77" s="18" t="s">
        <v>270</v>
      </c>
      <c r="C77" s="17" t="s">
        <v>86</v>
      </c>
      <c r="D77" s="17" t="s">
        <v>271</v>
      </c>
      <c r="E77" s="17"/>
      <c r="F77" s="19"/>
      <c r="G77" s="20">
        <v>1.0</v>
      </c>
      <c r="H77" s="21"/>
      <c r="I77" s="21">
        <v>308.0</v>
      </c>
      <c r="J77" s="22">
        <v>45.0</v>
      </c>
      <c r="K77" s="50"/>
      <c r="L77" s="21" t="str">
        <f>IF(K77&gt;0,K77*I77,"")</f>
      </c>
      <c r="M77" s="52"/>
      <c r="N77" t="str">
        <f>IF(K77&gt;0,COUNTIF($K$7:K77,"&gt;0"),"")</f>
      </c>
      <c r="O77" t="s">
        <v>272</v>
      </c>
      <c r="P77" t="s">
        <v>269</v>
      </c>
      <c r="Q77" t="s">
        <v>269</v>
      </c>
    </row>
    <row r="78" spans="1:18" customHeight="1" ht="58">
      <c r="A78" s="16"/>
      <c r="B78" s="18" t="s">
        <v>270</v>
      </c>
      <c r="C78" s="17" t="s">
        <v>86</v>
      </c>
      <c r="D78" s="17" t="s">
        <v>274</v>
      </c>
      <c r="E78" s="17"/>
      <c r="F78" s="19"/>
      <c r="G78" s="20">
        <v>1.0</v>
      </c>
      <c r="H78" s="21"/>
      <c r="I78" s="21">
        <v>308.0</v>
      </c>
      <c r="J78" s="22">
        <v>64.0</v>
      </c>
      <c r="K78" s="50"/>
      <c r="L78" s="21" t="str">
        <f>IF(K78&gt;0,K78*I78,"")</f>
      </c>
      <c r="M78" s="52"/>
      <c r="N78" t="str">
        <f>IF(K78&gt;0,COUNTIF($K$7:K78,"&gt;0"),"")</f>
      </c>
      <c r="O78" t="s">
        <v>275</v>
      </c>
      <c r="P78" t="s">
        <v>273</v>
      </c>
      <c r="Q78" t="s">
        <v>273</v>
      </c>
    </row>
    <row r="79" spans="1:18" customHeight="1" ht="58">
      <c r="A79" s="16"/>
      <c r="B79" s="18" t="s">
        <v>270</v>
      </c>
      <c r="C79" s="17" t="s">
        <v>86</v>
      </c>
      <c r="D79" s="17" t="s">
        <v>277</v>
      </c>
      <c r="E79" s="17"/>
      <c r="F79" s="19"/>
      <c r="G79" s="20">
        <v>1.0</v>
      </c>
      <c r="H79" s="21"/>
      <c r="I79" s="21">
        <v>308.0</v>
      </c>
      <c r="J79" s="22">
        <v>53.0</v>
      </c>
      <c r="K79" s="50"/>
      <c r="L79" s="21" t="str">
        <f>IF(K79&gt;0,K79*I79,"")</f>
      </c>
      <c r="M79" s="52"/>
      <c r="N79" t="str">
        <f>IF(K79&gt;0,COUNTIF($K$7:K79,"&gt;0"),"")</f>
      </c>
      <c r="O79" t="s">
        <v>278</v>
      </c>
      <c r="P79" t="s">
        <v>276</v>
      </c>
      <c r="Q79" t="s">
        <v>276</v>
      </c>
    </row>
    <row r="80" spans="1:18" customHeight="1" ht="58">
      <c r="A80" s="16"/>
      <c r="B80" s="18" t="s">
        <v>270</v>
      </c>
      <c r="C80" s="17" t="s">
        <v>86</v>
      </c>
      <c r="D80" s="17" t="s">
        <v>280</v>
      </c>
      <c r="E80" s="17"/>
      <c r="F80" s="19"/>
      <c r="G80" s="20">
        <v>1.0</v>
      </c>
      <c r="H80" s="21"/>
      <c r="I80" s="21">
        <v>308.0</v>
      </c>
      <c r="J80" s="22">
        <v>220.0</v>
      </c>
      <c r="K80" s="50"/>
      <c r="L80" s="21" t="str">
        <f>IF(K80&gt;0,K80*I80,"")</f>
      </c>
      <c r="M80" s="52"/>
      <c r="N80" t="str">
        <f>IF(K80&gt;0,COUNTIF($K$7:K80,"&gt;0"),"")</f>
      </c>
      <c r="O80" t="s">
        <v>281</v>
      </c>
      <c r="P80" t="s">
        <v>279</v>
      </c>
      <c r="Q80" t="s">
        <v>279</v>
      </c>
    </row>
    <row r="81" spans="1:18" customHeight="1" ht="58">
      <c r="A81" s="16"/>
      <c r="B81" s="18" t="s">
        <v>283</v>
      </c>
      <c r="C81" s="17" t="s">
        <v>86</v>
      </c>
      <c r="D81" s="17" t="s">
        <v>284</v>
      </c>
      <c r="E81" s="17"/>
      <c r="F81" s="19"/>
      <c r="G81" s="20">
        <v>1.0</v>
      </c>
      <c r="H81" s="21"/>
      <c r="I81" s="21">
        <v>308.0</v>
      </c>
      <c r="J81" s="22">
        <v>91.0</v>
      </c>
      <c r="K81" s="50"/>
      <c r="L81" s="21" t="str">
        <f>IF(K81&gt;0,K81*I81,"")</f>
      </c>
      <c r="M81" s="52"/>
      <c r="N81" t="str">
        <f>IF(K81&gt;0,COUNTIF($K$7:K81,"&gt;0"),"")</f>
      </c>
      <c r="O81" t="s">
        <v>285</v>
      </c>
      <c r="P81" t="s">
        <v>282</v>
      </c>
      <c r="Q81" t="s">
        <v>282</v>
      </c>
    </row>
    <row r="82" spans="1:18" customHeight="1" ht="58">
      <c r="A82" s="16"/>
      <c r="B82" s="18" t="s">
        <v>283</v>
      </c>
      <c r="C82" s="17" t="s">
        <v>86</v>
      </c>
      <c r="D82" s="17" t="s">
        <v>287</v>
      </c>
      <c r="E82" s="17"/>
      <c r="F82" s="19"/>
      <c r="G82" s="20">
        <v>1.0</v>
      </c>
      <c r="H82" s="21"/>
      <c r="I82" s="21">
        <v>308.0</v>
      </c>
      <c r="J82" s="22">
        <v>236.0</v>
      </c>
      <c r="K82" s="50"/>
      <c r="L82" s="21" t="str">
        <f>IF(K82&gt;0,K82*I82,"")</f>
      </c>
      <c r="M82" s="52"/>
      <c r="N82" t="str">
        <f>IF(K82&gt;0,COUNTIF($K$7:K82,"&gt;0"),"")</f>
      </c>
      <c r="O82" t="s">
        <v>288</v>
      </c>
      <c r="P82" t="s">
        <v>286</v>
      </c>
      <c r="Q82" t="s">
        <v>286</v>
      </c>
    </row>
    <row r="83" spans="1:18" customHeight="1" ht="58">
      <c r="A83" s="16"/>
      <c r="B83" s="18" t="s">
        <v>283</v>
      </c>
      <c r="C83" s="17" t="s">
        <v>86</v>
      </c>
      <c r="D83" s="17" t="s">
        <v>290</v>
      </c>
      <c r="E83" s="17"/>
      <c r="F83" s="19"/>
      <c r="G83" s="20">
        <v>1.0</v>
      </c>
      <c r="H83" s="21"/>
      <c r="I83" s="21">
        <v>308.0</v>
      </c>
      <c r="J83" s="22">
        <v>186.0</v>
      </c>
      <c r="K83" s="50"/>
      <c r="L83" s="21" t="str">
        <f>IF(K83&gt;0,K83*I83,"")</f>
      </c>
      <c r="M83" s="52"/>
      <c r="N83" t="str">
        <f>IF(K83&gt;0,COUNTIF($K$7:K83,"&gt;0"),"")</f>
      </c>
      <c r="O83" t="s">
        <v>291</v>
      </c>
      <c r="P83" t="s">
        <v>289</v>
      </c>
      <c r="Q83" t="s">
        <v>289</v>
      </c>
    </row>
    <row r="84" spans="1:18" customHeight="1" ht="58">
      <c r="A84" s="16"/>
      <c r="B84" s="18" t="s">
        <v>283</v>
      </c>
      <c r="C84" s="17" t="s">
        <v>86</v>
      </c>
      <c r="D84" s="17" t="s">
        <v>293</v>
      </c>
      <c r="E84" s="17"/>
      <c r="F84" s="19"/>
      <c r="G84" s="20">
        <v>1.0</v>
      </c>
      <c r="H84" s="21"/>
      <c r="I84" s="21">
        <v>308.0</v>
      </c>
      <c r="J84" s="22">
        <v>332.0</v>
      </c>
      <c r="K84" s="50"/>
      <c r="L84" s="21" t="str">
        <f>IF(K84&gt;0,K84*I84,"")</f>
      </c>
      <c r="M84" s="52"/>
      <c r="N84" t="str">
        <f>IF(K84&gt;0,COUNTIF($K$7:K84,"&gt;0"),"")</f>
      </c>
      <c r="O84" t="s">
        <v>294</v>
      </c>
      <c r="P84" t="s">
        <v>292</v>
      </c>
      <c r="Q84" t="s">
        <v>292</v>
      </c>
    </row>
    <row r="85" spans="1:18" customHeight="1" ht="58">
      <c r="A85" s="16"/>
      <c r="B85" s="18" t="s">
        <v>283</v>
      </c>
      <c r="C85" s="17" t="s">
        <v>86</v>
      </c>
      <c r="D85" s="17" t="s">
        <v>296</v>
      </c>
      <c r="E85" s="17"/>
      <c r="F85" s="19"/>
      <c r="G85" s="20">
        <v>1.0</v>
      </c>
      <c r="H85" s="21"/>
      <c r="I85" s="21">
        <v>308.0</v>
      </c>
      <c r="J85" s="22">
        <v>130.0</v>
      </c>
      <c r="K85" s="50"/>
      <c r="L85" s="21" t="str">
        <f>IF(K85&gt;0,K85*I85,"")</f>
      </c>
      <c r="M85" s="52"/>
      <c r="N85" t="str">
        <f>IF(K85&gt;0,COUNTIF($K$7:K85,"&gt;0"),"")</f>
      </c>
      <c r="O85" t="s">
        <v>297</v>
      </c>
      <c r="P85" t="s">
        <v>295</v>
      </c>
      <c r="Q85" t="s">
        <v>295</v>
      </c>
    </row>
    <row r="86" spans="1:18" customHeight="1" ht="58">
      <c r="A86" s="16"/>
      <c r="B86" s="18" t="s">
        <v>283</v>
      </c>
      <c r="C86" s="17" t="s">
        <v>86</v>
      </c>
      <c r="D86" s="17" t="s">
        <v>299</v>
      </c>
      <c r="E86" s="17"/>
      <c r="F86" s="19"/>
      <c r="G86" s="20">
        <v>1.0</v>
      </c>
      <c r="H86" s="21"/>
      <c r="I86" s="21">
        <v>308.0</v>
      </c>
      <c r="J86" s="22">
        <v>183.0</v>
      </c>
      <c r="K86" s="50"/>
      <c r="L86" s="21" t="str">
        <f>IF(K86&gt;0,K86*I86,"")</f>
      </c>
      <c r="M86" s="52"/>
      <c r="N86" t="str">
        <f>IF(K86&gt;0,COUNTIF($K$7:K86,"&gt;0"),"")</f>
      </c>
      <c r="O86" t="s">
        <v>300</v>
      </c>
      <c r="P86" t="s">
        <v>298</v>
      </c>
      <c r="Q86" t="s">
        <v>298</v>
      </c>
    </row>
    <row r="87" spans="1:18" customHeight="1" ht="58">
      <c r="A87" s="16"/>
      <c r="B87" s="18" t="s">
        <v>302</v>
      </c>
      <c r="C87" s="17" t="s">
        <v>86</v>
      </c>
      <c r="D87" s="17" t="s">
        <v>303</v>
      </c>
      <c r="E87" s="17"/>
      <c r="F87" s="19"/>
      <c r="G87" s="20">
        <v>1.0</v>
      </c>
      <c r="H87" s="21"/>
      <c r="I87" s="21">
        <v>262.0</v>
      </c>
      <c r="J87" s="22">
        <v>99.0</v>
      </c>
      <c r="K87" s="50"/>
      <c r="L87" s="21" t="str">
        <f>IF(K87&gt;0,K87*I87,"")</f>
      </c>
      <c r="M87" s="52"/>
      <c r="N87" t="str">
        <f>IF(K87&gt;0,COUNTIF($K$7:K87,"&gt;0"),"")</f>
      </c>
      <c r="O87" t="s">
        <v>304</v>
      </c>
      <c r="P87" t="s">
        <v>301</v>
      </c>
      <c r="Q87" t="s">
        <v>301</v>
      </c>
    </row>
    <row r="88" spans="1:18" customHeight="1" ht="58">
      <c r="A88" s="16"/>
      <c r="B88" s="18" t="s">
        <v>302</v>
      </c>
      <c r="C88" s="17" t="s">
        <v>86</v>
      </c>
      <c r="D88" s="17" t="s">
        <v>306</v>
      </c>
      <c r="E88" s="17"/>
      <c r="F88" s="19"/>
      <c r="G88" s="20">
        <v>1.0</v>
      </c>
      <c r="H88" s="21"/>
      <c r="I88" s="21">
        <v>262.0</v>
      </c>
      <c r="J88" s="22">
        <v>148.0</v>
      </c>
      <c r="K88" s="50"/>
      <c r="L88" s="21" t="str">
        <f>IF(K88&gt;0,K88*I88,"")</f>
      </c>
      <c r="M88" s="52"/>
      <c r="N88" t="str">
        <f>IF(K88&gt;0,COUNTIF($K$7:K88,"&gt;0"),"")</f>
      </c>
      <c r="O88" t="s">
        <v>307</v>
      </c>
      <c r="P88" t="s">
        <v>305</v>
      </c>
      <c r="Q88" t="s">
        <v>305</v>
      </c>
    </row>
    <row r="89" spans="1:18" customHeight="1" ht="58">
      <c r="A89" s="16"/>
      <c r="B89" s="18" t="s">
        <v>302</v>
      </c>
      <c r="C89" s="17" t="s">
        <v>86</v>
      </c>
      <c r="D89" s="17" t="s">
        <v>309</v>
      </c>
      <c r="E89" s="17"/>
      <c r="F89" s="19"/>
      <c r="G89" s="20">
        <v>1.0</v>
      </c>
      <c r="H89" s="21"/>
      <c r="I89" s="21">
        <v>262.0</v>
      </c>
      <c r="J89" s="22">
        <v>168.0</v>
      </c>
      <c r="K89" s="50"/>
      <c r="L89" s="21" t="str">
        <f>IF(K89&gt;0,K89*I89,"")</f>
      </c>
      <c r="M89" s="52"/>
      <c r="N89" t="str">
        <f>IF(K89&gt;0,COUNTIF($K$7:K89,"&gt;0"),"")</f>
      </c>
      <c r="O89" t="s">
        <v>310</v>
      </c>
      <c r="P89" t="s">
        <v>308</v>
      </c>
      <c r="Q89" t="s">
        <v>308</v>
      </c>
    </row>
    <row r="90" spans="1:18" customHeight="1" ht="58">
      <c r="A90" s="16"/>
      <c r="B90" s="18" t="s">
        <v>302</v>
      </c>
      <c r="C90" s="17" t="s">
        <v>86</v>
      </c>
      <c r="D90" s="17" t="s">
        <v>312</v>
      </c>
      <c r="E90" s="17"/>
      <c r="F90" s="19"/>
      <c r="G90" s="20">
        <v>1.0</v>
      </c>
      <c r="H90" s="21"/>
      <c r="I90" s="21">
        <v>262.0</v>
      </c>
      <c r="J90" s="22">
        <v>123.0</v>
      </c>
      <c r="K90" s="50"/>
      <c r="L90" s="21" t="str">
        <f>IF(K90&gt;0,K90*I90,"")</f>
      </c>
      <c r="M90" s="52"/>
      <c r="N90" t="str">
        <f>IF(K90&gt;0,COUNTIF($K$7:K90,"&gt;0"),"")</f>
      </c>
      <c r="O90" t="s">
        <v>313</v>
      </c>
      <c r="P90" t="s">
        <v>311</v>
      </c>
      <c r="Q90" t="s">
        <v>311</v>
      </c>
    </row>
    <row r="91" spans="1:18" customHeight="1" ht="58">
      <c r="A91" s="16"/>
      <c r="B91" s="18" t="s">
        <v>302</v>
      </c>
      <c r="C91" s="17" t="s">
        <v>86</v>
      </c>
      <c r="D91" s="17" t="s">
        <v>315</v>
      </c>
      <c r="E91" s="17"/>
      <c r="F91" s="19"/>
      <c r="G91" s="20">
        <v>1.0</v>
      </c>
      <c r="H91" s="21"/>
      <c r="I91" s="21">
        <v>262.0</v>
      </c>
      <c r="J91" s="22">
        <v>82.0</v>
      </c>
      <c r="K91" s="50"/>
      <c r="L91" s="21" t="str">
        <f>IF(K91&gt;0,K91*I91,"")</f>
      </c>
      <c r="M91" s="52"/>
      <c r="N91" t="str">
        <f>IF(K91&gt;0,COUNTIF($K$7:K91,"&gt;0"),"")</f>
      </c>
      <c r="O91" t="s">
        <v>316</v>
      </c>
      <c r="P91" t="s">
        <v>314</v>
      </c>
      <c r="Q91" t="s">
        <v>314</v>
      </c>
    </row>
    <row r="92" spans="1:18" customHeight="1" ht="58">
      <c r="A92" s="16"/>
      <c r="B92" s="18" t="s">
        <v>318</v>
      </c>
      <c r="C92" s="17" t="s">
        <v>86</v>
      </c>
      <c r="D92" s="17" t="s">
        <v>319</v>
      </c>
      <c r="E92" s="17"/>
      <c r="F92" s="19"/>
      <c r="G92" s="20">
        <v>1.0</v>
      </c>
      <c r="H92" s="21"/>
      <c r="I92" s="21">
        <v>217.0</v>
      </c>
      <c r="J92" s="22">
        <v>212.0</v>
      </c>
      <c r="K92" s="50"/>
      <c r="L92" s="21" t="str">
        <f>IF(K92&gt;0,K92*I92,"")</f>
      </c>
      <c r="M92" s="52"/>
      <c r="N92" t="str">
        <f>IF(K92&gt;0,COUNTIF($K$7:K92,"&gt;0"),"")</f>
      </c>
      <c r="O92" t="s">
        <v>320</v>
      </c>
      <c r="P92" t="s">
        <v>317</v>
      </c>
      <c r="Q92" t="s">
        <v>317</v>
      </c>
    </row>
    <row r="93" spans="1:18" customHeight="1" ht="58">
      <c r="A93" s="16"/>
      <c r="B93" s="18" t="s">
        <v>318</v>
      </c>
      <c r="C93" s="17" t="s">
        <v>86</v>
      </c>
      <c r="D93" s="17" t="s">
        <v>322</v>
      </c>
      <c r="E93" s="17"/>
      <c r="F93" s="19"/>
      <c r="G93" s="20">
        <v>1.0</v>
      </c>
      <c r="H93" s="21"/>
      <c r="I93" s="21">
        <v>217.0</v>
      </c>
      <c r="J93" s="22">
        <v>121.0</v>
      </c>
      <c r="K93" s="50"/>
      <c r="L93" s="21" t="str">
        <f>IF(K93&gt;0,K93*I93,"")</f>
      </c>
      <c r="M93" s="52"/>
      <c r="N93" t="str">
        <f>IF(K93&gt;0,COUNTIF($K$7:K93,"&gt;0"),"")</f>
      </c>
      <c r="O93" t="s">
        <v>323</v>
      </c>
      <c r="P93" t="s">
        <v>321</v>
      </c>
      <c r="Q93" t="s">
        <v>321</v>
      </c>
    </row>
    <row r="94" spans="1:18" customHeight="1" ht="58">
      <c r="A94" s="16"/>
      <c r="B94" s="18" t="s">
        <v>318</v>
      </c>
      <c r="C94" s="17" t="s">
        <v>86</v>
      </c>
      <c r="D94" s="17" t="s">
        <v>325</v>
      </c>
      <c r="E94" s="17"/>
      <c r="F94" s="19"/>
      <c r="G94" s="20">
        <v>1.0</v>
      </c>
      <c r="H94" s="21"/>
      <c r="I94" s="21">
        <v>217.0</v>
      </c>
      <c r="J94" s="22">
        <v>357.0</v>
      </c>
      <c r="K94" s="50"/>
      <c r="L94" s="21" t="str">
        <f>IF(K94&gt;0,K94*I94,"")</f>
      </c>
      <c r="M94" s="52"/>
      <c r="N94" t="str">
        <f>IF(K94&gt;0,COUNTIF($K$7:K94,"&gt;0"),"")</f>
      </c>
      <c r="O94" t="s">
        <v>326</v>
      </c>
      <c r="P94" t="s">
        <v>324</v>
      </c>
      <c r="Q94" t="s">
        <v>324</v>
      </c>
    </row>
    <row r="95" spans="1:18" customHeight="1" ht="58">
      <c r="A95" s="16"/>
      <c r="B95" s="18" t="s">
        <v>318</v>
      </c>
      <c r="C95" s="17" t="s">
        <v>86</v>
      </c>
      <c r="D95" s="17" t="s">
        <v>328</v>
      </c>
      <c r="E95" s="17"/>
      <c r="F95" s="19"/>
      <c r="G95" s="20">
        <v>1.0</v>
      </c>
      <c r="H95" s="21"/>
      <c r="I95" s="21">
        <v>217.0</v>
      </c>
      <c r="J95" s="22">
        <v>551.0</v>
      </c>
      <c r="K95" s="50"/>
      <c r="L95" s="21" t="str">
        <f>IF(K95&gt;0,K95*I95,"")</f>
      </c>
      <c r="M95" s="52"/>
      <c r="N95" t="str">
        <f>IF(K95&gt;0,COUNTIF($K$7:K95,"&gt;0"),"")</f>
      </c>
      <c r="O95" t="s">
        <v>329</v>
      </c>
      <c r="P95" t="s">
        <v>327</v>
      </c>
      <c r="Q95" t="s">
        <v>327</v>
      </c>
    </row>
    <row r="96" spans="1:18" customHeight="1" ht="58">
      <c r="A96" s="16"/>
      <c r="B96" s="18" t="s">
        <v>331</v>
      </c>
      <c r="C96" s="17" t="s">
        <v>86</v>
      </c>
      <c r="D96" s="17" t="s">
        <v>332</v>
      </c>
      <c r="E96" s="17"/>
      <c r="F96" s="19"/>
      <c r="G96" s="20">
        <v>1.0</v>
      </c>
      <c r="H96" s="21"/>
      <c r="I96" s="21">
        <v>72.0</v>
      </c>
      <c r="J96" s="22">
        <v>329.0</v>
      </c>
      <c r="K96" s="50"/>
      <c r="L96" s="21" t="str">
        <f>IF(K96&gt;0,K96*I96,"")</f>
      </c>
      <c r="M96" s="52"/>
      <c r="N96" t="str">
        <f>IF(K96&gt;0,COUNTIF($K$7:K96,"&gt;0"),"")</f>
      </c>
      <c r="O96" t="s">
        <v>333</v>
      </c>
      <c r="P96" t="s">
        <v>330</v>
      </c>
      <c r="Q96" t="s">
        <v>330</v>
      </c>
    </row>
    <row r="97" spans="1:18" customHeight="1" ht="58">
      <c r="A97" s="16"/>
      <c r="B97" s="18" t="s">
        <v>331</v>
      </c>
      <c r="C97" s="17" t="s">
        <v>86</v>
      </c>
      <c r="D97" s="17" t="s">
        <v>335</v>
      </c>
      <c r="E97" s="17"/>
      <c r="F97" s="19"/>
      <c r="G97" s="20">
        <v>1.0</v>
      </c>
      <c r="H97" s="21"/>
      <c r="I97" s="21">
        <v>72.0</v>
      </c>
      <c r="J97" s="22">
        <v>72.0</v>
      </c>
      <c r="K97" s="50"/>
      <c r="L97" s="21" t="str">
        <f>IF(K97&gt;0,K97*I97,"")</f>
      </c>
      <c r="M97" s="52"/>
      <c r="N97" t="str">
        <f>IF(K97&gt;0,COUNTIF($K$7:K97,"&gt;0"),"")</f>
      </c>
      <c r="O97" t="s">
        <v>336</v>
      </c>
      <c r="P97" t="s">
        <v>334</v>
      </c>
      <c r="Q97" t="s">
        <v>334</v>
      </c>
    </row>
    <row r="98" spans="1:18" customHeight="1" ht="58">
      <c r="A98" s="16"/>
      <c r="B98" s="18" t="s">
        <v>331</v>
      </c>
      <c r="C98" s="17" t="s">
        <v>86</v>
      </c>
      <c r="D98" s="17" t="s">
        <v>338</v>
      </c>
      <c r="E98" s="17"/>
      <c r="F98" s="19"/>
      <c r="G98" s="20">
        <v>1.0</v>
      </c>
      <c r="H98" s="21"/>
      <c r="I98" s="21">
        <v>72.0</v>
      </c>
      <c r="J98" s="22">
        <v>263.0</v>
      </c>
      <c r="K98" s="50"/>
      <c r="L98" s="21" t="str">
        <f>IF(K98&gt;0,K98*I98,"")</f>
      </c>
      <c r="M98" s="52"/>
      <c r="N98" t="str">
        <f>IF(K98&gt;0,COUNTIF($K$7:K98,"&gt;0"),"")</f>
      </c>
      <c r="O98" t="s">
        <v>339</v>
      </c>
      <c r="P98" t="s">
        <v>337</v>
      </c>
      <c r="Q98" t="s">
        <v>337</v>
      </c>
    </row>
    <row r="99" spans="1:18" customHeight="1" ht="58">
      <c r="A99" s="16"/>
      <c r="B99" s="18" t="s">
        <v>331</v>
      </c>
      <c r="C99" s="17" t="s">
        <v>86</v>
      </c>
      <c r="D99" s="17" t="s">
        <v>341</v>
      </c>
      <c r="E99" s="17"/>
      <c r="F99" s="19"/>
      <c r="G99" s="20">
        <v>1.0</v>
      </c>
      <c r="H99" s="21"/>
      <c r="I99" s="21">
        <v>72.0</v>
      </c>
      <c r="J99" s="22">
        <v>246.0</v>
      </c>
      <c r="K99" s="50"/>
      <c r="L99" s="21" t="str">
        <f>IF(K99&gt;0,K99*I99,"")</f>
      </c>
      <c r="M99" s="52"/>
      <c r="N99" t="str">
        <f>IF(K99&gt;0,COUNTIF($K$7:K99,"&gt;0"),"")</f>
      </c>
      <c r="O99" t="s">
        <v>342</v>
      </c>
      <c r="P99" t="s">
        <v>340</v>
      </c>
      <c r="Q99" t="s">
        <v>340</v>
      </c>
    </row>
    <row r="100" spans="1:18" customHeight="1" ht="58">
      <c r="A100" s="16"/>
      <c r="B100" s="18" t="s">
        <v>344</v>
      </c>
      <c r="C100" s="17" t="s">
        <v>86</v>
      </c>
      <c r="D100" s="17" t="s">
        <v>345</v>
      </c>
      <c r="E100" s="17" t="s">
        <v>346</v>
      </c>
      <c r="F100" s="19"/>
      <c r="G100" s="20">
        <v>1.0</v>
      </c>
      <c r="H100" s="21"/>
      <c r="I100" s="21">
        <v>116.0</v>
      </c>
      <c r="J100" s="22">
        <v>381.0</v>
      </c>
      <c r="K100" s="50"/>
      <c r="L100" s="21" t="str">
        <f>IF(K100&gt;0,K100*I100,"")</f>
      </c>
      <c r="M100" s="52"/>
      <c r="N100" t="str">
        <f>IF(K100&gt;0,COUNTIF($K$7:K100,"&gt;0"),"")</f>
      </c>
      <c r="O100" t="s">
        <v>347</v>
      </c>
      <c r="P100" t="s">
        <v>343</v>
      </c>
      <c r="Q100" t="s">
        <v>343</v>
      </c>
    </row>
    <row r="101" spans="1:18" customHeight="1" ht="58">
      <c r="A101" s="16"/>
      <c r="B101" s="18" t="s">
        <v>344</v>
      </c>
      <c r="C101" s="17" t="s">
        <v>86</v>
      </c>
      <c r="D101" s="17" t="s">
        <v>349</v>
      </c>
      <c r="E101" s="17" t="s">
        <v>346</v>
      </c>
      <c r="F101" s="19"/>
      <c r="G101" s="20">
        <v>1.0</v>
      </c>
      <c r="H101" s="21"/>
      <c r="I101" s="21">
        <v>116.0</v>
      </c>
      <c r="J101" s="22">
        <v>763.0</v>
      </c>
      <c r="K101" s="50"/>
      <c r="L101" s="21" t="str">
        <f>IF(K101&gt;0,K101*I101,"")</f>
      </c>
      <c r="M101" s="52"/>
      <c r="N101" t="str">
        <f>IF(K101&gt;0,COUNTIF($K$7:K101,"&gt;0"),"")</f>
      </c>
      <c r="O101" t="s">
        <v>350</v>
      </c>
      <c r="P101" t="s">
        <v>348</v>
      </c>
      <c r="Q101" t="s">
        <v>348</v>
      </c>
    </row>
    <row r="102" spans="1:18" customHeight="1" ht="58">
      <c r="A102" s="16"/>
      <c r="B102" s="18" t="s">
        <v>352</v>
      </c>
      <c r="C102" s="17" t="s">
        <v>86</v>
      </c>
      <c r="D102" s="17" t="s">
        <v>353</v>
      </c>
      <c r="E102" s="17" t="s">
        <v>354</v>
      </c>
      <c r="F102" s="19"/>
      <c r="G102" s="20">
        <v>1.0</v>
      </c>
      <c r="H102" s="21"/>
      <c r="I102" s="21">
        <v>262.0</v>
      </c>
      <c r="J102" s="22">
        <v>260.0</v>
      </c>
      <c r="K102" s="50"/>
      <c r="L102" s="21" t="str">
        <f>IF(K102&gt;0,K102*I102,"")</f>
      </c>
      <c r="M102" s="52"/>
      <c r="N102" t="str">
        <f>IF(K102&gt;0,COUNTIF($K$7:K102,"&gt;0"),"")</f>
      </c>
      <c r="O102" t="s">
        <v>355</v>
      </c>
      <c r="P102" t="s">
        <v>351</v>
      </c>
      <c r="Q102" t="s">
        <v>351</v>
      </c>
    </row>
    <row r="103" spans="1:18" customHeight="1" ht="58">
      <c r="A103" s="16"/>
      <c r="B103" s="18" t="s">
        <v>357</v>
      </c>
      <c r="C103" s="17" t="s">
        <v>86</v>
      </c>
      <c r="D103" s="17" t="s">
        <v>358</v>
      </c>
      <c r="E103" s="17" t="s">
        <v>359</v>
      </c>
      <c r="F103" s="19"/>
      <c r="G103" s="20">
        <v>1.0</v>
      </c>
      <c r="H103" s="21"/>
      <c r="I103" s="21">
        <v>512.0</v>
      </c>
      <c r="J103" s="22">
        <v>140.0</v>
      </c>
      <c r="K103" s="50"/>
      <c r="L103" s="21" t="str">
        <f>IF(K103&gt;0,K103*I103,"")</f>
      </c>
      <c r="M103" s="52"/>
      <c r="N103" t="str">
        <f>IF(K103&gt;0,COUNTIF($K$7:K103,"&gt;0"),"")</f>
      </c>
      <c r="O103" t="s">
        <v>360</v>
      </c>
      <c r="P103" t="s">
        <v>356</v>
      </c>
      <c r="Q103" t="s">
        <v>356</v>
      </c>
    </row>
    <row r="104" spans="1:18" customHeight="1" ht="58">
      <c r="A104" s="16"/>
      <c r="B104" s="18" t="s">
        <v>357</v>
      </c>
      <c r="C104" s="17" t="s">
        <v>86</v>
      </c>
      <c r="D104" s="17" t="s">
        <v>362</v>
      </c>
      <c r="E104" s="17" t="s">
        <v>359</v>
      </c>
      <c r="F104" s="19"/>
      <c r="G104" s="20">
        <v>1.0</v>
      </c>
      <c r="H104" s="21"/>
      <c r="I104" s="21">
        <v>512.0</v>
      </c>
      <c r="J104" s="22">
        <v>129.0</v>
      </c>
      <c r="K104" s="50"/>
      <c r="L104" s="21" t="str">
        <f>IF(K104&gt;0,K104*I104,"")</f>
      </c>
      <c r="M104" s="52"/>
      <c r="N104" t="str">
        <f>IF(K104&gt;0,COUNTIF($K$7:K104,"&gt;0"),"")</f>
      </c>
      <c r="O104" t="s">
        <v>363</v>
      </c>
      <c r="P104" t="s">
        <v>361</v>
      </c>
      <c r="Q104" t="s">
        <v>361</v>
      </c>
    </row>
    <row r="105" spans="1:18" customHeight="1" ht="58">
      <c r="A105" s="16"/>
      <c r="B105" s="18" t="s">
        <v>357</v>
      </c>
      <c r="C105" s="17" t="s">
        <v>86</v>
      </c>
      <c r="D105" s="17" t="s">
        <v>365</v>
      </c>
      <c r="E105" s="17" t="s">
        <v>359</v>
      </c>
      <c r="F105" s="19"/>
      <c r="G105" s="20">
        <v>1.0</v>
      </c>
      <c r="H105" s="21"/>
      <c r="I105" s="21">
        <v>512.0</v>
      </c>
      <c r="J105" s="22">
        <v>59.0</v>
      </c>
      <c r="K105" s="50"/>
      <c r="L105" s="21" t="str">
        <f>IF(K105&gt;0,K105*I105,"")</f>
      </c>
      <c r="M105" s="52"/>
      <c r="N105" t="str">
        <f>IF(K105&gt;0,COUNTIF($K$7:K105,"&gt;0"),"")</f>
      </c>
      <c r="O105" t="s">
        <v>366</v>
      </c>
      <c r="P105" t="s">
        <v>364</v>
      </c>
      <c r="Q105" t="s">
        <v>364</v>
      </c>
    </row>
    <row r="106" spans="1:18" customHeight="1" ht="58">
      <c r="A106" s="16"/>
      <c r="B106" s="18" t="s">
        <v>357</v>
      </c>
      <c r="C106" s="17" t="s">
        <v>86</v>
      </c>
      <c r="D106" s="17" t="s">
        <v>368</v>
      </c>
      <c r="E106" s="17" t="s">
        <v>359</v>
      </c>
      <c r="F106" s="19"/>
      <c r="G106" s="20">
        <v>1.0</v>
      </c>
      <c r="H106" s="21"/>
      <c r="I106" s="21">
        <v>512.0</v>
      </c>
      <c r="J106" s="22">
        <v>17.0</v>
      </c>
      <c r="K106" s="50"/>
      <c r="L106" s="21" t="str">
        <f>IF(K106&gt;0,K106*I106,"")</f>
      </c>
      <c r="M106" s="52"/>
      <c r="N106" t="str">
        <f>IF(K106&gt;0,COUNTIF($K$7:K106,"&gt;0"),"")</f>
      </c>
      <c r="O106" t="s">
        <v>369</v>
      </c>
      <c r="P106" t="s">
        <v>367</v>
      </c>
      <c r="Q106" t="s">
        <v>367</v>
      </c>
    </row>
    <row r="107" spans="1:18" customHeight="1" ht="58">
      <c r="A107" s="16"/>
      <c r="B107" s="18" t="s">
        <v>371</v>
      </c>
      <c r="C107" s="17" t="s">
        <v>86</v>
      </c>
      <c r="D107" s="17" t="s">
        <v>29</v>
      </c>
      <c r="E107" s="17" t="s">
        <v>372</v>
      </c>
      <c r="F107" s="19"/>
      <c r="G107" s="20">
        <v>1.0</v>
      </c>
      <c r="H107" s="21"/>
      <c r="I107" s="21">
        <v>157.0</v>
      </c>
      <c r="J107" s="22">
        <v>1.0</v>
      </c>
      <c r="K107" s="50"/>
      <c r="L107" s="21" t="str">
        <f>IF(K107&gt;0,K107*I107,"")</f>
      </c>
      <c r="M107" s="52"/>
      <c r="N107" t="str">
        <f>IF(K107&gt;0,COUNTIF($K$7:K107,"&gt;0"),"")</f>
      </c>
      <c r="O107" t="s">
        <v>373</v>
      </c>
      <c r="P107" t="s">
        <v>370</v>
      </c>
      <c r="Q107" t="s">
        <v>370</v>
      </c>
    </row>
    <row r="108" spans="1:18" customHeight="1" ht="58">
      <c r="A108" s="16"/>
      <c r="B108" s="18" t="s">
        <v>375</v>
      </c>
      <c r="C108" s="17" t="s">
        <v>376</v>
      </c>
      <c r="D108" s="17" t="s">
        <v>118</v>
      </c>
      <c r="E108" s="17" t="s">
        <v>377</v>
      </c>
      <c r="F108" s="19"/>
      <c r="G108" s="20">
        <v>1.0</v>
      </c>
      <c r="H108" s="21"/>
      <c r="I108" s="21">
        <v>428.0</v>
      </c>
      <c r="J108" s="22">
        <v>4.0</v>
      </c>
      <c r="K108" s="50"/>
      <c r="L108" s="21" t="str">
        <f>IF(K108&gt;0,K108*I108,"")</f>
      </c>
      <c r="M108" s="52"/>
      <c r="N108" t="str">
        <f>IF(K108&gt;0,COUNTIF($K$7:K108,"&gt;0"),"")</f>
      </c>
      <c r="O108" t="s">
        <v>378</v>
      </c>
      <c r="P108" t="s">
        <v>374</v>
      </c>
      <c r="Q108" t="s">
        <v>374</v>
      </c>
    </row>
    <row r="109" spans="1:18" customHeight="1" ht="58">
      <c r="A109" s="16"/>
      <c r="B109" s="18" t="s">
        <v>380</v>
      </c>
      <c r="C109" s="17" t="s">
        <v>381</v>
      </c>
      <c r="D109" s="17"/>
      <c r="E109" s="17"/>
      <c r="F109" s="19"/>
      <c r="G109" s="20">
        <v>1.0</v>
      </c>
      <c r="H109" s="21"/>
      <c r="I109" s="21">
        <v>584.0</v>
      </c>
      <c r="J109" s="22">
        <v>21.0</v>
      </c>
      <c r="K109" s="50"/>
      <c r="L109" s="21" t="str">
        <f>IF(K109&gt;0,K109*I109,"")</f>
      </c>
      <c r="M109" s="52"/>
      <c r="N109" t="str">
        <f>IF(K109&gt;0,COUNTIF($K$7:K109,"&gt;0"),"")</f>
      </c>
      <c r="P109" t="s">
        <v>379</v>
      </c>
      <c r="Q109" t="s">
        <v>379</v>
      </c>
    </row>
    <row r="110" spans="1:18" customHeight="1" ht="58">
      <c r="A110" s="16"/>
      <c r="B110" s="18" t="s">
        <v>383</v>
      </c>
      <c r="C110" s="17" t="s">
        <v>384</v>
      </c>
      <c r="D110" s="17"/>
      <c r="E110" s="17"/>
      <c r="F110" s="19"/>
      <c r="G110" s="20">
        <v>1.0</v>
      </c>
      <c r="H110" s="21"/>
      <c r="I110" s="21">
        <v>347.0</v>
      </c>
      <c r="J110" s="22">
        <v>1.0</v>
      </c>
      <c r="K110" s="50"/>
      <c r="L110" s="21" t="str">
        <f>IF(K110&gt;0,K110*I110,"")</f>
      </c>
      <c r="M110" s="52"/>
      <c r="N110" t="str">
        <f>IF(K110&gt;0,COUNTIF($K$7:K110,"&gt;0"),"")</f>
      </c>
      <c r="O110" t="s">
        <v>385</v>
      </c>
      <c r="P110" t="s">
        <v>382</v>
      </c>
      <c r="Q110" t="s">
        <v>382</v>
      </c>
    </row>
    <row r="111" spans="1:18" customHeight="1" ht="58">
      <c r="A111" s="16"/>
      <c r="B111" s="18" t="s">
        <v>387</v>
      </c>
      <c r="C111" s="17" t="s">
        <v>388</v>
      </c>
      <c r="D111" s="17"/>
      <c r="E111" s="17"/>
      <c r="F111" s="19"/>
      <c r="G111" s="20">
        <v>1.0</v>
      </c>
      <c r="H111" s="21"/>
      <c r="I111" s="21">
        <v>809.0</v>
      </c>
      <c r="J111" s="22">
        <v>14.0</v>
      </c>
      <c r="K111" s="50"/>
      <c r="L111" s="21" t="str">
        <f>IF(K111&gt;0,K111*I111,"")</f>
      </c>
      <c r="M111" s="52"/>
      <c r="N111" t="str">
        <f>IF(K111&gt;0,COUNTIF($K$7:K111,"&gt;0"),"")</f>
      </c>
      <c r="O111" t="s">
        <v>389</v>
      </c>
      <c r="P111" t="s">
        <v>386</v>
      </c>
      <c r="Q111" t="s">
        <v>386</v>
      </c>
    </row>
    <row r="112" spans="1:18" customHeight="1" ht="58">
      <c r="A112" s="16"/>
      <c r="B112" s="18" t="s">
        <v>391</v>
      </c>
      <c r="C112" s="17" t="s">
        <v>392</v>
      </c>
      <c r="D112" s="17"/>
      <c r="E112" s="17"/>
      <c r="F112" s="19"/>
      <c r="G112" s="20">
        <v>1.0</v>
      </c>
      <c r="H112" s="21"/>
      <c r="I112" s="21">
        <v>339.0</v>
      </c>
      <c r="J112" s="22">
        <v>1.0</v>
      </c>
      <c r="K112" s="50"/>
      <c r="L112" s="21" t="str">
        <f>IF(K112&gt;0,K112*I112,"")</f>
      </c>
      <c r="M112" s="52"/>
      <c r="N112" t="str">
        <f>IF(K112&gt;0,COUNTIF($K$7:K112,"&gt;0"),"")</f>
      </c>
      <c r="O112" t="s">
        <v>393</v>
      </c>
      <c r="P112" t="s">
        <v>390</v>
      </c>
      <c r="Q112" t="s">
        <v>390</v>
      </c>
    </row>
    <row r="113" spans="1:18" customHeight="1" ht="58">
      <c r="A113" s="16"/>
      <c r="B113" s="18" t="s">
        <v>395</v>
      </c>
      <c r="C113" s="17" t="s">
        <v>396</v>
      </c>
      <c r="D113" s="17"/>
      <c r="E113" s="17"/>
      <c r="F113" s="19"/>
      <c r="G113" s="20">
        <v>1.0</v>
      </c>
      <c r="H113" s="21"/>
      <c r="I113" s="21">
        <v>261.0</v>
      </c>
      <c r="J113" s="22">
        <v>33.0</v>
      </c>
      <c r="K113" s="50"/>
      <c r="L113" s="21" t="str">
        <f>IF(K113&gt;0,K113*I113,"")</f>
      </c>
      <c r="M113" s="52"/>
      <c r="N113" t="str">
        <f>IF(K113&gt;0,COUNTIF($K$7:K113,"&gt;0"),"")</f>
      </c>
      <c r="O113" t="s">
        <v>397</v>
      </c>
      <c r="P113" t="s">
        <v>394</v>
      </c>
      <c r="Q113" t="s">
        <v>394</v>
      </c>
    </row>
    <row r="114" spans="1:18" customHeight="1" ht="58">
      <c r="A114" s="16"/>
      <c r="B114" s="18" t="s">
        <v>399</v>
      </c>
      <c r="C114" s="17" t="s">
        <v>400</v>
      </c>
      <c r="D114" s="17"/>
      <c r="E114" s="17"/>
      <c r="F114" s="19"/>
      <c r="G114" s="20">
        <v>1.0</v>
      </c>
      <c r="H114" s="21"/>
      <c r="I114" s="21">
        <v>584.0</v>
      </c>
      <c r="J114" s="22">
        <v>9.0</v>
      </c>
      <c r="K114" s="50"/>
      <c r="L114" s="21" t="str">
        <f>IF(K114&gt;0,K114*I114,"")</f>
      </c>
      <c r="M114" s="52"/>
      <c r="N114" t="str">
        <f>IF(K114&gt;0,COUNTIF($K$7:K114,"&gt;0"),"")</f>
      </c>
      <c r="O114" t="s">
        <v>401</v>
      </c>
      <c r="P114" t="s">
        <v>398</v>
      </c>
      <c r="Q114" t="s">
        <v>398</v>
      </c>
    </row>
    <row r="115" spans="1:18" customHeight="1" ht="58">
      <c r="A115" s="16"/>
      <c r="B115" s="18" t="s">
        <v>403</v>
      </c>
      <c r="C115" s="17" t="s">
        <v>404</v>
      </c>
      <c r="D115" s="17"/>
      <c r="E115" s="17"/>
      <c r="F115" s="19"/>
      <c r="G115" s="20">
        <v>1.0</v>
      </c>
      <c r="H115" s="21"/>
      <c r="I115" s="21">
        <v>486.0</v>
      </c>
      <c r="J115" s="22">
        <v>10.0</v>
      </c>
      <c r="K115" s="50"/>
      <c r="L115" s="21" t="str">
        <f>IF(K115&gt;0,K115*I115,"")</f>
      </c>
      <c r="M115" s="52"/>
      <c r="N115" t="str">
        <f>IF(K115&gt;0,COUNTIF($K$7:K115,"&gt;0"),"")</f>
      </c>
      <c r="O115" t="s">
        <v>405</v>
      </c>
      <c r="P115" t="s">
        <v>402</v>
      </c>
      <c r="Q115" t="s">
        <v>402</v>
      </c>
    </row>
    <row r="116" spans="1:18" customHeight="1" ht="58">
      <c r="A116" s="16"/>
      <c r="B116" s="18" t="s">
        <v>407</v>
      </c>
      <c r="C116" s="17" t="s">
        <v>408</v>
      </c>
      <c r="D116" s="17"/>
      <c r="E116" s="17"/>
      <c r="F116" s="19"/>
      <c r="G116" s="20">
        <v>1.0</v>
      </c>
      <c r="H116" s="21"/>
      <c r="I116" s="21"/>
      <c r="J116" s="22">
        <v>1.0</v>
      </c>
      <c r="K116" s="50"/>
      <c r="L116" s="21" t="str">
        <f>IF(K116&gt;0,"по запросу","")</f>
      </c>
      <c r="M116" s="52"/>
      <c r="N116" t="str">
        <f>IF(K116&gt;0,COUNTIF($K$7:K116,"&gt;0"),"")</f>
      </c>
      <c r="O116" t="s">
        <v>409</v>
      </c>
      <c r="P116" t="s">
        <v>406</v>
      </c>
      <c r="Q116" t="s">
        <v>406</v>
      </c>
    </row>
    <row r="117" spans="1:18" customHeight="1" ht="58">
      <c r="A117" s="16"/>
      <c r="B117" s="18" t="s">
        <v>411</v>
      </c>
      <c r="C117" s="17" t="s">
        <v>412</v>
      </c>
      <c r="D117" s="17" t="s">
        <v>29</v>
      </c>
      <c r="E117" s="17" t="s">
        <v>413</v>
      </c>
      <c r="F117" s="19"/>
      <c r="G117" s="20">
        <v>1.0</v>
      </c>
      <c r="H117" s="21"/>
      <c r="I117" s="21">
        <v>781.0</v>
      </c>
      <c r="J117" s="22">
        <v>1.0</v>
      </c>
      <c r="K117" s="50"/>
      <c r="L117" s="21" t="str">
        <f>IF(K117&gt;0,K117*I117,"")</f>
      </c>
      <c r="M117" s="52"/>
      <c r="N117" t="str">
        <f>IF(K117&gt;0,COUNTIF($K$7:K117,"&gt;0"),"")</f>
      </c>
      <c r="O117" t="s">
        <v>414</v>
      </c>
      <c r="P117" t="s">
        <v>410</v>
      </c>
      <c r="Q117" t="s">
        <v>410</v>
      </c>
    </row>
    <row r="118" spans="1:18" customHeight="1" ht="58">
      <c r="A118" s="16"/>
      <c r="B118" s="18" t="s">
        <v>416</v>
      </c>
      <c r="C118" s="17" t="s">
        <v>417</v>
      </c>
      <c r="D118" s="17"/>
      <c r="E118" s="17"/>
      <c r="F118" s="19"/>
      <c r="G118" s="20">
        <v>1.0</v>
      </c>
      <c r="H118" s="21"/>
      <c r="I118" s="21">
        <v>489.0</v>
      </c>
      <c r="J118" s="22">
        <v>16.0</v>
      </c>
      <c r="K118" s="50"/>
      <c r="L118" s="21" t="str">
        <f>IF(K118&gt;0,K118*I118,"")</f>
      </c>
      <c r="M118" s="52"/>
      <c r="N118" t="str">
        <f>IF(K118&gt;0,COUNTIF($K$7:K118,"&gt;0"),"")</f>
      </c>
      <c r="O118" t="s">
        <v>418</v>
      </c>
      <c r="P118" t="s">
        <v>415</v>
      </c>
      <c r="Q118" t="s">
        <v>415</v>
      </c>
    </row>
    <row r="119" spans="1:18" customHeight="1" ht="58">
      <c r="A119" s="16"/>
      <c r="B119" s="18" t="s">
        <v>416</v>
      </c>
      <c r="C119" s="17" t="s">
        <v>420</v>
      </c>
      <c r="D119" s="17"/>
      <c r="E119" s="17"/>
      <c r="F119" s="19"/>
      <c r="G119" s="20">
        <v>1.0</v>
      </c>
      <c r="H119" s="21"/>
      <c r="I119" s="21">
        <v>607.0</v>
      </c>
      <c r="J119" s="22">
        <v>4.0</v>
      </c>
      <c r="K119" s="50"/>
      <c r="L119" s="21" t="str">
        <f>IF(K119&gt;0,K119*I119,"")</f>
      </c>
      <c r="M119" s="52"/>
      <c r="N119" t="str">
        <f>IF(K119&gt;0,COUNTIF($K$7:K119,"&gt;0"),"")</f>
      </c>
      <c r="O119" t="s">
        <v>421</v>
      </c>
      <c r="P119" t="s">
        <v>419</v>
      </c>
      <c r="Q119" t="s">
        <v>419</v>
      </c>
    </row>
    <row r="120" spans="1:18" customHeight="1" ht="58">
      <c r="A120" s="16"/>
      <c r="B120" s="18" t="s">
        <v>416</v>
      </c>
      <c r="C120" s="17" t="s">
        <v>423</v>
      </c>
      <c r="D120" s="17"/>
      <c r="E120" s="17"/>
      <c r="F120" s="19"/>
      <c r="G120" s="20">
        <v>1.0</v>
      </c>
      <c r="H120" s="21"/>
      <c r="I120" s="21">
        <v>607.0</v>
      </c>
      <c r="J120" s="22">
        <v>5.0</v>
      </c>
      <c r="K120" s="50"/>
      <c r="L120" s="21" t="str">
        <f>IF(K120&gt;0,K120*I120,"")</f>
      </c>
      <c r="M120" s="52"/>
      <c r="N120" t="str">
        <f>IF(K120&gt;0,COUNTIF($K$7:K120,"&gt;0"),"")</f>
      </c>
      <c r="O120" t="s">
        <v>424</v>
      </c>
      <c r="P120" t="s">
        <v>422</v>
      </c>
      <c r="Q120" t="s">
        <v>422</v>
      </c>
    </row>
    <row r="121" spans="1:18" customHeight="1" ht="58">
      <c r="A121" s="16"/>
      <c r="B121" s="18" t="s">
        <v>426</v>
      </c>
      <c r="C121" s="17" t="s">
        <v>427</v>
      </c>
      <c r="D121" s="17"/>
      <c r="E121" s="17"/>
      <c r="F121" s="19"/>
      <c r="G121" s="20">
        <v>1.0</v>
      </c>
      <c r="H121" s="21"/>
      <c r="I121" s="21">
        <v>492.0</v>
      </c>
      <c r="J121" s="22">
        <v>18.0</v>
      </c>
      <c r="K121" s="50"/>
      <c r="L121" s="21" t="str">
        <f>IF(K121&gt;0,K121*I121,"")</f>
      </c>
      <c r="M121" s="52"/>
      <c r="N121" t="str">
        <f>IF(K121&gt;0,COUNTIF($K$7:K121,"&gt;0"),"")</f>
      </c>
      <c r="O121" t="s">
        <v>428</v>
      </c>
      <c r="P121" t="s">
        <v>425</v>
      </c>
      <c r="Q121" t="s">
        <v>425</v>
      </c>
    </row>
    <row r="122" spans="1:18" customHeight="1" ht="58">
      <c r="A122" s="16"/>
      <c r="B122" s="18" t="s">
        <v>426</v>
      </c>
      <c r="C122" s="17" t="s">
        <v>430</v>
      </c>
      <c r="D122" s="17"/>
      <c r="E122" s="17"/>
      <c r="F122" s="19"/>
      <c r="G122" s="20">
        <v>1.0</v>
      </c>
      <c r="H122" s="21"/>
      <c r="I122" s="21">
        <v>492.0</v>
      </c>
      <c r="J122" s="22">
        <v>7.0</v>
      </c>
      <c r="K122" s="50"/>
      <c r="L122" s="21" t="str">
        <f>IF(K122&gt;0,K122*I122,"")</f>
      </c>
      <c r="M122" s="52"/>
      <c r="N122" t="str">
        <f>IF(K122&gt;0,COUNTIF($K$7:K122,"&gt;0"),"")</f>
      </c>
      <c r="O122" t="s">
        <v>431</v>
      </c>
      <c r="P122" t="s">
        <v>429</v>
      </c>
      <c r="Q122" t="s">
        <v>429</v>
      </c>
    </row>
    <row r="123" spans="1:18" customHeight="1" ht="58">
      <c r="A123" s="16"/>
      <c r="B123" s="18" t="s">
        <v>433</v>
      </c>
      <c r="C123" s="17" t="s">
        <v>434</v>
      </c>
      <c r="D123" s="17" t="s">
        <v>29</v>
      </c>
      <c r="E123" s="17" t="s">
        <v>435</v>
      </c>
      <c r="F123" s="19"/>
      <c r="G123" s="20">
        <v>1.0</v>
      </c>
      <c r="H123" s="21"/>
      <c r="I123" s="21"/>
      <c r="J123" s="22">
        <v>3.0</v>
      </c>
      <c r="K123" s="50"/>
      <c r="L123" s="21" t="str">
        <f>IF(K123&gt;0,"по запросу","")</f>
      </c>
      <c r="M123" s="52"/>
      <c r="N123" t="str">
        <f>IF(K123&gt;0,COUNTIF($K$7:K123,"&gt;0"),"")</f>
      </c>
      <c r="O123" t="s">
        <v>436</v>
      </c>
      <c r="P123" t="s">
        <v>432</v>
      </c>
      <c r="Q123" t="s">
        <v>432</v>
      </c>
    </row>
    <row r="124" spans="1:18" customHeight="1" ht="58">
      <c r="A124" s="16"/>
      <c r="B124" s="18" t="s">
        <v>438</v>
      </c>
      <c r="C124" s="17" t="s">
        <v>439</v>
      </c>
      <c r="D124" s="17"/>
      <c r="E124" s="17"/>
      <c r="F124" s="19"/>
      <c r="G124" s="20">
        <v>1.0</v>
      </c>
      <c r="H124" s="21"/>
      <c r="I124" s="21">
        <v>272.0</v>
      </c>
      <c r="J124" s="22">
        <v>3.0</v>
      </c>
      <c r="K124" s="50"/>
      <c r="L124" s="21" t="str">
        <f>IF(K124&gt;0,K124*I124,"")</f>
      </c>
      <c r="M124" s="52"/>
      <c r="N124" t="str">
        <f>IF(K124&gt;0,COUNTIF($K$7:K124,"&gt;0"),"")</f>
      </c>
      <c r="O124" t="s">
        <v>440</v>
      </c>
      <c r="P124" t="s">
        <v>437</v>
      </c>
      <c r="Q124" t="s">
        <v>437</v>
      </c>
    </row>
    <row r="125" spans="1:18" customHeight="1" ht="58">
      <c r="A125" s="16"/>
      <c r="B125" s="18" t="s">
        <v>438</v>
      </c>
      <c r="C125" s="17" t="s">
        <v>442</v>
      </c>
      <c r="D125" s="17"/>
      <c r="E125" s="17"/>
      <c r="F125" s="19"/>
      <c r="G125" s="20">
        <v>1.0</v>
      </c>
      <c r="H125" s="21"/>
      <c r="I125" s="21">
        <v>272.0</v>
      </c>
      <c r="J125" s="22">
        <v>15.0</v>
      </c>
      <c r="K125" s="50"/>
      <c r="L125" s="21" t="str">
        <f>IF(K125&gt;0,K125*I125,"")</f>
      </c>
      <c r="M125" s="52"/>
      <c r="N125" t="str">
        <f>IF(K125&gt;0,COUNTIF($K$7:K125,"&gt;0"),"")</f>
      </c>
      <c r="O125" t="s">
        <v>443</v>
      </c>
      <c r="P125" t="s">
        <v>441</v>
      </c>
      <c r="Q125" t="s">
        <v>441</v>
      </c>
    </row>
    <row r="126" spans="1:18" customHeight="1" ht="58">
      <c r="A126" s="16"/>
      <c r="B126" s="18" t="s">
        <v>445</v>
      </c>
      <c r="C126" s="17" t="s">
        <v>446</v>
      </c>
      <c r="D126" s="17"/>
      <c r="E126" s="17"/>
      <c r="F126" s="19"/>
      <c r="G126" s="20">
        <v>1.0</v>
      </c>
      <c r="H126" s="21"/>
      <c r="I126" s="21">
        <v>243.0</v>
      </c>
      <c r="J126" s="22">
        <v>23.0</v>
      </c>
      <c r="K126" s="50"/>
      <c r="L126" s="21" t="str">
        <f>IF(K126&gt;0,K126*I126,"")</f>
      </c>
      <c r="M126" s="52"/>
      <c r="N126" t="str">
        <f>IF(K126&gt;0,COUNTIF($K$7:K126,"&gt;0"),"")</f>
      </c>
      <c r="O126" t="s">
        <v>447</v>
      </c>
      <c r="P126" t="s">
        <v>444</v>
      </c>
      <c r="Q126" t="s">
        <v>444</v>
      </c>
    </row>
    <row r="127" spans="1:18" customHeight="1" ht="58">
      <c r="A127" s="16"/>
      <c r="B127" s="18" t="s">
        <v>445</v>
      </c>
      <c r="C127" s="17" t="s">
        <v>449</v>
      </c>
      <c r="D127" s="17"/>
      <c r="E127" s="17"/>
      <c r="F127" s="19"/>
      <c r="G127" s="20">
        <v>1.0</v>
      </c>
      <c r="H127" s="21"/>
      <c r="I127" s="21">
        <v>243.0</v>
      </c>
      <c r="J127" s="22">
        <v>22.0</v>
      </c>
      <c r="K127" s="50"/>
      <c r="L127" s="21" t="str">
        <f>IF(K127&gt;0,K127*I127,"")</f>
      </c>
      <c r="M127" s="52"/>
      <c r="N127" t="str">
        <f>IF(K127&gt;0,COUNTIF($K$7:K127,"&gt;0"),"")</f>
      </c>
      <c r="O127" t="s">
        <v>450</v>
      </c>
      <c r="P127" t="s">
        <v>448</v>
      </c>
      <c r="Q127" t="s">
        <v>448</v>
      </c>
    </row>
    <row r="128" spans="1:18" customHeight="1" ht="58">
      <c r="A128" s="16"/>
      <c r="B128" s="18" t="s">
        <v>452</v>
      </c>
      <c r="C128" s="17" t="s">
        <v>453</v>
      </c>
      <c r="D128" s="17"/>
      <c r="E128" s="17"/>
      <c r="F128" s="19"/>
      <c r="G128" s="20">
        <v>1.0</v>
      </c>
      <c r="H128" s="21"/>
      <c r="I128" s="21">
        <v>307.0</v>
      </c>
      <c r="J128" s="22">
        <v>3.0</v>
      </c>
      <c r="K128" s="50"/>
      <c r="L128" s="21" t="str">
        <f>IF(K128&gt;0,K128*I128,"")</f>
      </c>
      <c r="M128" s="52"/>
      <c r="N128" t="str">
        <f>IF(K128&gt;0,COUNTIF($K$7:K128,"&gt;0"),"")</f>
      </c>
      <c r="O128" t="s">
        <v>454</v>
      </c>
      <c r="P128" t="s">
        <v>451</v>
      </c>
      <c r="Q128" t="s">
        <v>451</v>
      </c>
    </row>
    <row r="129" spans="1:18" customHeight="1" ht="58">
      <c r="A129" s="16"/>
      <c r="B129" s="18" t="s">
        <v>456</v>
      </c>
      <c r="C129" s="17" t="s">
        <v>457</v>
      </c>
      <c r="D129" s="17"/>
      <c r="E129" s="17"/>
      <c r="F129" s="19"/>
      <c r="G129" s="20">
        <v>1.0</v>
      </c>
      <c r="H129" s="21"/>
      <c r="I129" s="21">
        <v>503.0</v>
      </c>
      <c r="J129" s="22">
        <v>10.0</v>
      </c>
      <c r="K129" s="50"/>
      <c r="L129" s="21" t="str">
        <f>IF(K129&gt;0,K129*I129,"")</f>
      </c>
      <c r="M129" s="52"/>
      <c r="N129" t="str">
        <f>IF(K129&gt;0,COUNTIF($K$7:K129,"&gt;0"),"")</f>
      </c>
      <c r="O129" t="s">
        <v>458</v>
      </c>
      <c r="P129" t="s">
        <v>455</v>
      </c>
      <c r="Q129" t="s">
        <v>455</v>
      </c>
    </row>
    <row r="130" spans="1:18" customHeight="1" ht="58">
      <c r="A130" s="16"/>
      <c r="B130" s="18" t="s">
        <v>460</v>
      </c>
      <c r="C130" s="17" t="s">
        <v>461</v>
      </c>
      <c r="D130" s="17"/>
      <c r="E130" s="17"/>
      <c r="F130" s="19"/>
      <c r="G130" s="20">
        <v>1.0</v>
      </c>
      <c r="H130" s="21"/>
      <c r="I130" s="21">
        <v>586.0</v>
      </c>
      <c r="J130" s="22">
        <v>1.0</v>
      </c>
      <c r="K130" s="50"/>
      <c r="L130" s="21" t="str">
        <f>IF(K130&gt;0,K130*I130,"")</f>
      </c>
      <c r="M130" s="52"/>
      <c r="N130" t="str">
        <f>IF(K130&gt;0,COUNTIF($K$7:K130,"&gt;0"),"")</f>
      </c>
      <c r="O130" t="s">
        <v>462</v>
      </c>
      <c r="P130" t="s">
        <v>459</v>
      </c>
      <c r="Q130" t="s">
        <v>459</v>
      </c>
    </row>
    <row r="131" spans="1:18" customHeight="1" ht="58">
      <c r="A131" s="16"/>
      <c r="B131" s="18" t="s">
        <v>464</v>
      </c>
      <c r="C131" s="17" t="s">
        <v>465</v>
      </c>
      <c r="D131" s="17"/>
      <c r="E131" s="17"/>
      <c r="F131" s="19"/>
      <c r="G131" s="20">
        <v>1.0</v>
      </c>
      <c r="H131" s="21"/>
      <c r="I131" s="21">
        <v>616.0</v>
      </c>
      <c r="J131" s="22">
        <v>4.0</v>
      </c>
      <c r="K131" s="50"/>
      <c r="L131" s="21" t="str">
        <f>IF(K131&gt;0,K131*I131,"")</f>
      </c>
      <c r="M131" s="52"/>
      <c r="N131" t="str">
        <f>IF(K131&gt;0,COUNTIF($K$7:K131,"&gt;0"),"")</f>
      </c>
      <c r="O131" t="s">
        <v>466</v>
      </c>
      <c r="P131" t="s">
        <v>463</v>
      </c>
      <c r="Q131" t="s">
        <v>463</v>
      </c>
    </row>
    <row r="132" spans="1:18" customHeight="1" ht="58">
      <c r="A132" s="16"/>
      <c r="B132" s="18" t="s">
        <v>468</v>
      </c>
      <c r="C132" s="17" t="s">
        <v>469</v>
      </c>
      <c r="D132" s="17"/>
      <c r="E132" s="17"/>
      <c r="F132" s="19"/>
      <c r="G132" s="20">
        <v>1.0</v>
      </c>
      <c r="H132" s="21"/>
      <c r="I132" s="21">
        <v>1079.0</v>
      </c>
      <c r="J132" s="22">
        <v>7.0</v>
      </c>
      <c r="K132" s="50"/>
      <c r="L132" s="21" t="str">
        <f>IF(K132&gt;0,K132*I132,"")</f>
      </c>
      <c r="M132" s="52"/>
      <c r="N132" t="str">
        <f>IF(K132&gt;0,COUNTIF($K$7:K132,"&gt;0"),"")</f>
      </c>
      <c r="O132" t="s">
        <v>470</v>
      </c>
      <c r="P132" t="s">
        <v>467</v>
      </c>
      <c r="Q132" t="s">
        <v>467</v>
      </c>
    </row>
    <row r="133" spans="1:18" customHeight="1" ht="58">
      <c r="A133" s="16"/>
      <c r="B133" s="18" t="s">
        <v>472</v>
      </c>
      <c r="C133" s="17" t="s">
        <v>473</v>
      </c>
      <c r="D133" s="17"/>
      <c r="E133" s="17"/>
      <c r="F133" s="19"/>
      <c r="G133" s="20">
        <v>1.0</v>
      </c>
      <c r="H133" s="21"/>
      <c r="I133" s="21">
        <v>1014.0</v>
      </c>
      <c r="J133" s="22">
        <v>2.0</v>
      </c>
      <c r="K133" s="50"/>
      <c r="L133" s="21" t="str">
        <f>IF(K133&gt;0,K133*I133,"")</f>
      </c>
      <c r="M133" s="52"/>
      <c r="N133" t="str">
        <f>IF(K133&gt;0,COUNTIF($K$7:K133,"&gt;0"),"")</f>
      </c>
      <c r="O133" t="s">
        <v>474</v>
      </c>
      <c r="P133" t="s">
        <v>471</v>
      </c>
      <c r="Q133" t="s">
        <v>471</v>
      </c>
    </row>
    <row r="134" spans="1:18" customHeight="1" ht="58">
      <c r="A134" s="16"/>
      <c r="B134" s="18" t="s">
        <v>476</v>
      </c>
      <c r="C134" s="17" t="s">
        <v>477</v>
      </c>
      <c r="D134" s="17"/>
      <c r="E134" s="17"/>
      <c r="F134" s="19"/>
      <c r="G134" s="20">
        <v>1.0</v>
      </c>
      <c r="H134" s="21"/>
      <c r="I134" s="21">
        <v>604.0</v>
      </c>
      <c r="J134" s="22">
        <v>3.0</v>
      </c>
      <c r="K134" s="50"/>
      <c r="L134" s="21" t="str">
        <f>IF(K134&gt;0,K134*I134,"")</f>
      </c>
      <c r="M134" s="52"/>
      <c r="N134" t="str">
        <f>IF(K134&gt;0,COUNTIF($K$7:K134,"&gt;0"),"")</f>
      </c>
      <c r="O134" t="s">
        <v>478</v>
      </c>
      <c r="P134" t="s">
        <v>475</v>
      </c>
      <c r="Q134" t="s">
        <v>475</v>
      </c>
    </row>
    <row r="135" spans="1:18" customHeight="1" ht="58">
      <c r="A135" s="16"/>
      <c r="B135" s="18" t="s">
        <v>480</v>
      </c>
      <c r="C135" s="17" t="s">
        <v>481</v>
      </c>
      <c r="D135" s="17"/>
      <c r="E135" s="17"/>
      <c r="F135" s="19"/>
      <c r="G135" s="20">
        <v>1.0</v>
      </c>
      <c r="H135" s="21"/>
      <c r="I135" s="21">
        <v>1386.0</v>
      </c>
      <c r="J135" s="22">
        <v>11.0</v>
      </c>
      <c r="K135" s="50"/>
      <c r="L135" s="21" t="str">
        <f>IF(K135&gt;0,K135*I135,"")</f>
      </c>
      <c r="M135" s="52"/>
      <c r="N135" t="str">
        <f>IF(K135&gt;0,COUNTIF($K$7:K135,"&gt;0"),"")</f>
      </c>
      <c r="O135" t="s">
        <v>482</v>
      </c>
      <c r="P135" t="s">
        <v>479</v>
      </c>
      <c r="Q135" t="s">
        <v>479</v>
      </c>
    </row>
    <row r="136" spans="1:18" customHeight="1" ht="58">
      <c r="A136" s="16"/>
      <c r="B136" s="18" t="s">
        <v>484</v>
      </c>
      <c r="C136" s="17" t="s">
        <v>485</v>
      </c>
      <c r="D136" s="17"/>
      <c r="E136" s="17"/>
      <c r="F136" s="19"/>
      <c r="G136" s="20">
        <v>1.0</v>
      </c>
      <c r="H136" s="21"/>
      <c r="I136" s="21">
        <v>249.0</v>
      </c>
      <c r="J136" s="22">
        <v>8.0</v>
      </c>
      <c r="K136" s="50"/>
      <c r="L136" s="21" t="str">
        <f>IF(K136&gt;0,K136*I136,"")</f>
      </c>
      <c r="M136" s="52"/>
      <c r="N136" t="str">
        <f>IF(K136&gt;0,COUNTIF($K$7:K136,"&gt;0"),"")</f>
      </c>
      <c r="O136" t="s">
        <v>486</v>
      </c>
      <c r="P136" t="s">
        <v>483</v>
      </c>
      <c r="Q136" t="s">
        <v>483</v>
      </c>
    </row>
    <row r="137" spans="1:18" customHeight="1" ht="58">
      <c r="A137" s="16"/>
      <c r="B137" s="18" t="s">
        <v>488</v>
      </c>
      <c r="C137" s="17" t="s">
        <v>489</v>
      </c>
      <c r="D137" s="17"/>
      <c r="E137" s="17"/>
      <c r="F137" s="19"/>
      <c r="G137" s="20">
        <v>1.0</v>
      </c>
      <c r="H137" s="21"/>
      <c r="I137" s="21">
        <v>976.0</v>
      </c>
      <c r="J137" s="22">
        <v>12.0</v>
      </c>
      <c r="K137" s="50"/>
      <c r="L137" s="21" t="str">
        <f>IF(K137&gt;0,K137*I137,"")</f>
      </c>
      <c r="M137" s="52"/>
      <c r="N137" t="str">
        <f>IF(K137&gt;0,COUNTIF($K$7:K137,"&gt;0"),"")</f>
      </c>
      <c r="O137" t="s">
        <v>490</v>
      </c>
      <c r="P137" t="s">
        <v>487</v>
      </c>
      <c r="Q137" t="s">
        <v>487</v>
      </c>
    </row>
    <row r="138" spans="1:18" customHeight="1" ht="58">
      <c r="A138" s="16"/>
      <c r="B138" s="18" t="s">
        <v>492</v>
      </c>
      <c r="C138" s="17" t="s">
        <v>493</v>
      </c>
      <c r="D138" s="17"/>
      <c r="E138" s="17"/>
      <c r="F138" s="19"/>
      <c r="G138" s="20">
        <v>1.0</v>
      </c>
      <c r="H138" s="21"/>
      <c r="I138" s="21">
        <v>590.0</v>
      </c>
      <c r="J138" s="22">
        <v>4.0</v>
      </c>
      <c r="K138" s="50"/>
      <c r="L138" s="21" t="str">
        <f>IF(K138&gt;0,K138*I138,"")</f>
      </c>
      <c r="M138" s="52"/>
      <c r="N138" t="str">
        <f>IF(K138&gt;0,COUNTIF($K$7:K138,"&gt;0"),"")</f>
      </c>
      <c r="O138" t="s">
        <v>494</v>
      </c>
      <c r="P138" t="s">
        <v>491</v>
      </c>
      <c r="Q138" t="s">
        <v>491</v>
      </c>
    </row>
    <row r="139" spans="1:18" customHeight="1" ht="58">
      <c r="A139" s="16"/>
      <c r="B139" s="18" t="s">
        <v>496</v>
      </c>
      <c r="C139" s="17" t="s">
        <v>497</v>
      </c>
      <c r="D139" s="17"/>
      <c r="E139" s="17"/>
      <c r="F139" s="19"/>
      <c r="G139" s="20">
        <v>1.0</v>
      </c>
      <c r="H139" s="21"/>
      <c r="I139" s="21">
        <v>378.0</v>
      </c>
      <c r="J139" s="22">
        <v>13.0</v>
      </c>
      <c r="K139" s="50"/>
      <c r="L139" s="21" t="str">
        <f>IF(K139&gt;0,K139*I139,"")</f>
      </c>
      <c r="M139" s="52"/>
      <c r="N139" t="str">
        <f>IF(K139&gt;0,COUNTIF($K$7:K139,"&gt;0"),"")</f>
      </c>
      <c r="O139" t="s">
        <v>498</v>
      </c>
      <c r="P139" t="s">
        <v>495</v>
      </c>
      <c r="Q139" t="s">
        <v>495</v>
      </c>
    </row>
    <row r="140" spans="1:18" customHeight="1" ht="58">
      <c r="A140" s="16"/>
      <c r="B140" s="18" t="s">
        <v>496</v>
      </c>
      <c r="C140" s="17" t="s">
        <v>500</v>
      </c>
      <c r="D140" s="17"/>
      <c r="E140" s="17"/>
      <c r="F140" s="19"/>
      <c r="G140" s="20">
        <v>1.0</v>
      </c>
      <c r="H140" s="21"/>
      <c r="I140" s="21">
        <v>444.0</v>
      </c>
      <c r="J140" s="22">
        <v>15.0</v>
      </c>
      <c r="K140" s="50"/>
      <c r="L140" s="21" t="str">
        <f>IF(K140&gt;0,K140*I140,"")</f>
      </c>
      <c r="M140" s="52"/>
      <c r="N140" t="str">
        <f>IF(K140&gt;0,COUNTIF($K$7:K140,"&gt;0"),"")</f>
      </c>
      <c r="O140" t="s">
        <v>501</v>
      </c>
      <c r="P140" t="s">
        <v>499</v>
      </c>
      <c r="Q140" t="s">
        <v>499</v>
      </c>
    </row>
    <row r="141" spans="1:18" customHeight="1" ht="58">
      <c r="A141" s="16"/>
      <c r="B141" s="18" t="s">
        <v>503</v>
      </c>
      <c r="C141" s="17" t="s">
        <v>504</v>
      </c>
      <c r="D141" s="17"/>
      <c r="E141" s="17"/>
      <c r="F141" s="19"/>
      <c r="G141" s="20">
        <v>1.0</v>
      </c>
      <c r="H141" s="21"/>
      <c r="I141" s="21">
        <v>1137.0</v>
      </c>
      <c r="J141" s="22">
        <v>3.0</v>
      </c>
      <c r="K141" s="50"/>
      <c r="L141" s="21" t="str">
        <f>IF(K141&gt;0,K141*I141,"")</f>
      </c>
      <c r="M141" s="52"/>
      <c r="N141" t="str">
        <f>IF(K141&gt;0,COUNTIF($K$7:K141,"&gt;0"),"")</f>
      </c>
      <c r="O141" t="s">
        <v>505</v>
      </c>
      <c r="P141" t="s">
        <v>502</v>
      </c>
      <c r="Q141" t="s">
        <v>502</v>
      </c>
    </row>
    <row r="142" spans="1:18" customHeight="1" ht="58">
      <c r="A142" s="16"/>
      <c r="B142" s="18" t="s">
        <v>503</v>
      </c>
      <c r="C142" s="17" t="s">
        <v>507</v>
      </c>
      <c r="D142" s="17"/>
      <c r="E142" s="17"/>
      <c r="F142" s="19"/>
      <c r="G142" s="20">
        <v>1.0</v>
      </c>
      <c r="H142" s="21"/>
      <c r="I142" s="21">
        <v>1153.0</v>
      </c>
      <c r="J142" s="22">
        <v>3.0</v>
      </c>
      <c r="K142" s="50"/>
      <c r="L142" s="21" t="str">
        <f>IF(K142&gt;0,K142*I142,"")</f>
      </c>
      <c r="M142" s="52"/>
      <c r="N142" t="str">
        <f>IF(K142&gt;0,COUNTIF($K$7:K142,"&gt;0"),"")</f>
      </c>
      <c r="O142" t="s">
        <v>508</v>
      </c>
      <c r="P142" t="s">
        <v>506</v>
      </c>
      <c r="Q142" t="s">
        <v>506</v>
      </c>
    </row>
    <row r="143" spans="1:18" customHeight="1" ht="58">
      <c r="A143" s="16"/>
      <c r="B143" s="18" t="s">
        <v>510</v>
      </c>
      <c r="C143" s="17" t="s">
        <v>511</v>
      </c>
      <c r="D143" s="17"/>
      <c r="E143" s="17"/>
      <c r="F143" s="19"/>
      <c r="G143" s="20">
        <v>1.0</v>
      </c>
      <c r="H143" s="21"/>
      <c r="I143" s="21">
        <v>654.0</v>
      </c>
      <c r="J143" s="22">
        <v>1.0</v>
      </c>
      <c r="K143" s="50"/>
      <c r="L143" s="21" t="str">
        <f>IF(K143&gt;0,K143*I143,"")</f>
      </c>
      <c r="M143" s="52"/>
      <c r="N143" t="str">
        <f>IF(K143&gt;0,COUNTIF($K$7:K143,"&gt;0"),"")</f>
      </c>
      <c r="O143" t="s">
        <v>512</v>
      </c>
      <c r="P143" t="s">
        <v>509</v>
      </c>
      <c r="Q143" t="s">
        <v>509</v>
      </c>
    </row>
    <row r="144" spans="1:18" customHeight="1" ht="58">
      <c r="A144" s="16"/>
      <c r="B144" s="18" t="s">
        <v>510</v>
      </c>
      <c r="C144" s="17" t="s">
        <v>514</v>
      </c>
      <c r="D144" s="17"/>
      <c r="E144" s="17"/>
      <c r="F144" s="19"/>
      <c r="G144" s="20">
        <v>1.0</v>
      </c>
      <c r="H144" s="21"/>
      <c r="I144" s="21">
        <v>654.0</v>
      </c>
      <c r="J144" s="22">
        <v>11.0</v>
      </c>
      <c r="K144" s="50"/>
      <c r="L144" s="21" t="str">
        <f>IF(K144&gt;0,K144*I144,"")</f>
      </c>
      <c r="M144" s="52"/>
      <c r="N144" t="str">
        <f>IF(K144&gt;0,COUNTIF($K$7:K144,"&gt;0"),"")</f>
      </c>
      <c r="O144" t="s">
        <v>515</v>
      </c>
      <c r="P144" t="s">
        <v>513</v>
      </c>
      <c r="Q144" t="s">
        <v>513</v>
      </c>
    </row>
    <row r="145" spans="1:18" customHeight="1" ht="58">
      <c r="A145" s="16"/>
      <c r="B145" s="18" t="s">
        <v>510</v>
      </c>
      <c r="C145" s="17" t="s">
        <v>517</v>
      </c>
      <c r="D145" s="17"/>
      <c r="E145" s="17"/>
      <c r="F145" s="19"/>
      <c r="G145" s="20">
        <v>1.0</v>
      </c>
      <c r="H145" s="21"/>
      <c r="I145" s="21">
        <v>654.0</v>
      </c>
      <c r="J145" s="22">
        <v>5.0</v>
      </c>
      <c r="K145" s="50"/>
      <c r="L145" s="21" t="str">
        <f>IF(K145&gt;0,K145*I145,"")</f>
      </c>
      <c r="M145" s="52"/>
      <c r="N145" t="str">
        <f>IF(K145&gt;0,COUNTIF($K$7:K145,"&gt;0"),"")</f>
      </c>
      <c r="O145" t="s">
        <v>518</v>
      </c>
      <c r="P145" t="s">
        <v>516</v>
      </c>
      <c r="Q145" t="s">
        <v>516</v>
      </c>
    </row>
    <row r="146" spans="1:18" customHeight="1" ht="58">
      <c r="A146" s="16"/>
      <c r="B146" s="18" t="s">
        <v>510</v>
      </c>
      <c r="C146" s="17" t="s">
        <v>520</v>
      </c>
      <c r="D146" s="17"/>
      <c r="E146" s="17"/>
      <c r="F146" s="19"/>
      <c r="G146" s="20">
        <v>1.0</v>
      </c>
      <c r="H146" s="21"/>
      <c r="I146" s="21">
        <v>654.0</v>
      </c>
      <c r="J146" s="22">
        <v>11.0</v>
      </c>
      <c r="K146" s="50"/>
      <c r="L146" s="21" t="str">
        <f>IF(K146&gt;0,K146*I146,"")</f>
      </c>
      <c r="M146" s="52"/>
      <c r="N146" t="str">
        <f>IF(K146&gt;0,COUNTIF($K$7:K146,"&gt;0"),"")</f>
      </c>
      <c r="O146" t="s">
        <v>521</v>
      </c>
      <c r="P146" t="s">
        <v>519</v>
      </c>
      <c r="Q146" t="s">
        <v>519</v>
      </c>
    </row>
    <row r="148" spans="1:18">
      <c r="I148" s="30" t="s">
        <v>522</v>
      </c>
      <c r="J148" s="33"/>
      <c r="K148" s="36" t="str">
        <f>COUNTIF(K7:K146,"&gt;0")</f>
      </c>
    </row>
    <row r="149" spans="1:18">
      <c r="I149" s="31" t="s">
        <v>523</v>
      </c>
      <c r="J149" s="34"/>
      <c r="K149" s="37" t="str">
        <f>SUM(K7:K146)</f>
      </c>
    </row>
    <row r="150" spans="1:18">
      <c r="I150" s="32" t="s">
        <v>524</v>
      </c>
      <c r="J150" s="35"/>
      <c r="K150" s="38" t="str">
        <f>SUM(L7:L146)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148:J148"/>
    <mergeCell ref="I149:J149"/>
    <mergeCell ref="I150:J150"/>
    <mergeCell ref="G5:I5"/>
  </mergeCells>
  <conditionalFormatting sqref="A7:M146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146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146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  <hyperlink ref="B68" r:id="rId_hyperlink_61" tooltip="Открыть карточку товара на сайте" display="Открыть карточку товара на сайте"/>
    <hyperlink ref="B69" r:id="rId_hyperlink_62" tooltip="Открыть карточку товара на сайте" display="Открыть карточку товара на сайте"/>
    <hyperlink ref="B70" r:id="rId_hyperlink_63" tooltip="Открыть карточку товара на сайте" display="Открыть карточку товара на сайте"/>
    <hyperlink ref="B71" r:id="rId_hyperlink_64" tooltip="Открыть карточку товара на сайте" display="Открыть карточку товара на сайте"/>
    <hyperlink ref="B72" r:id="rId_hyperlink_65" tooltip="Открыть карточку товара на сайте" display="Открыть карточку товара на сайте"/>
    <hyperlink ref="B73" r:id="rId_hyperlink_66" tooltip="Открыть карточку товара на сайте" display="Открыть карточку товара на сайте"/>
    <hyperlink ref="B74" r:id="rId_hyperlink_67" tooltip="Открыть карточку товара на сайте" display="Открыть карточку товара на сайте"/>
    <hyperlink ref="B75" r:id="rId_hyperlink_68" tooltip="Открыть карточку товара на сайте" display="Открыть карточку товара на сайте"/>
    <hyperlink ref="B76" r:id="rId_hyperlink_69" tooltip="Открыть карточку товара на сайте" display="Открыть карточку товара на сайте"/>
    <hyperlink ref="B77" r:id="rId_hyperlink_70" tooltip="Открыть карточку товара на сайте" display="Открыть карточку товара на сайте"/>
    <hyperlink ref="B78" r:id="rId_hyperlink_71" tooltip="Открыть карточку товара на сайте" display="Открыть карточку товара на сайте"/>
    <hyperlink ref="B79" r:id="rId_hyperlink_72" tooltip="Открыть карточку товара на сайте" display="Открыть карточку товара на сайте"/>
    <hyperlink ref="B80" r:id="rId_hyperlink_73" tooltip="Открыть карточку товара на сайте" display="Открыть карточку товара на сайте"/>
    <hyperlink ref="B81" r:id="rId_hyperlink_74" tooltip="Открыть карточку товара на сайте" display="Открыть карточку товара на сайте"/>
    <hyperlink ref="B82" r:id="rId_hyperlink_75" tooltip="Открыть карточку товара на сайте" display="Открыть карточку товара на сайте"/>
    <hyperlink ref="B83" r:id="rId_hyperlink_76" tooltip="Открыть карточку товара на сайте" display="Открыть карточку товара на сайте"/>
    <hyperlink ref="B84" r:id="rId_hyperlink_77" tooltip="Открыть карточку товара на сайте" display="Открыть карточку товара на сайте"/>
    <hyperlink ref="B85" r:id="rId_hyperlink_78" tooltip="Открыть карточку товара на сайте" display="Открыть карточку товара на сайте"/>
    <hyperlink ref="B86" r:id="rId_hyperlink_79" tooltip="Открыть карточку товара на сайте" display="Открыть карточку товара на сайте"/>
    <hyperlink ref="B87" r:id="rId_hyperlink_80" tooltip="Открыть карточку товара на сайте" display="Открыть карточку товара на сайте"/>
    <hyperlink ref="B88" r:id="rId_hyperlink_81" tooltip="Открыть карточку товара на сайте" display="Открыть карточку товара на сайте"/>
    <hyperlink ref="B89" r:id="rId_hyperlink_82" tooltip="Открыть карточку товара на сайте" display="Открыть карточку товара на сайте"/>
    <hyperlink ref="B90" r:id="rId_hyperlink_83" tooltip="Открыть карточку товара на сайте" display="Открыть карточку товара на сайте"/>
    <hyperlink ref="B91" r:id="rId_hyperlink_84" tooltip="Открыть карточку товара на сайте" display="Открыть карточку товара на сайте"/>
    <hyperlink ref="B92" r:id="rId_hyperlink_85" tooltip="Открыть карточку товара на сайте" display="Открыть карточку товара на сайте"/>
    <hyperlink ref="B93" r:id="rId_hyperlink_86" tooltip="Открыть карточку товара на сайте" display="Открыть карточку товара на сайте"/>
    <hyperlink ref="B94" r:id="rId_hyperlink_87" tooltip="Открыть карточку товара на сайте" display="Открыть карточку товара на сайте"/>
    <hyperlink ref="B95" r:id="rId_hyperlink_88" tooltip="Открыть карточку товара на сайте" display="Открыть карточку товара на сайте"/>
    <hyperlink ref="B96" r:id="rId_hyperlink_89" tooltip="Открыть карточку товара на сайте" display="Открыть карточку товара на сайте"/>
    <hyperlink ref="B97" r:id="rId_hyperlink_90" tooltip="Открыть карточку товара на сайте" display="Открыть карточку товара на сайте"/>
    <hyperlink ref="B98" r:id="rId_hyperlink_91" tooltip="Открыть карточку товара на сайте" display="Открыть карточку товара на сайте"/>
    <hyperlink ref="B99" r:id="rId_hyperlink_92" tooltip="Открыть карточку товара на сайте" display="Открыть карточку товара на сайте"/>
    <hyperlink ref="B100" r:id="rId_hyperlink_93" tooltip="Открыть карточку товара на сайте" display="Открыть карточку товара на сайте"/>
    <hyperlink ref="B101" r:id="rId_hyperlink_94" tooltip="Открыть карточку товара на сайте" display="Открыть карточку товара на сайте"/>
    <hyperlink ref="B102" r:id="rId_hyperlink_95" tooltip="Открыть карточку товара на сайте" display="Открыть карточку товара на сайте"/>
    <hyperlink ref="B103" r:id="rId_hyperlink_96" tooltip="Открыть карточку товара на сайте" display="Открыть карточку товара на сайте"/>
    <hyperlink ref="B104" r:id="rId_hyperlink_97" tooltip="Открыть карточку товара на сайте" display="Открыть карточку товара на сайте"/>
    <hyperlink ref="B105" r:id="rId_hyperlink_98" tooltip="Открыть карточку товара на сайте" display="Открыть карточку товара на сайте"/>
    <hyperlink ref="B106" r:id="rId_hyperlink_99" tooltip="Открыть карточку товара на сайте" display="Открыть карточку товара на сайте"/>
    <hyperlink ref="B107" r:id="rId_hyperlink_100" tooltip="Открыть карточку товара на сайте" display="Открыть карточку товара на сайте"/>
    <hyperlink ref="B108" r:id="rId_hyperlink_101" tooltip="Открыть карточку товара на сайте" display="Открыть карточку товара на сайте"/>
    <hyperlink ref="B109" r:id="rId_hyperlink_102" tooltip="Открыть карточку товара на сайте" display="Открыть карточку товара на сайте"/>
    <hyperlink ref="B110" r:id="rId_hyperlink_103" tooltip="Открыть карточку товара на сайте" display="Открыть карточку товара на сайте"/>
    <hyperlink ref="B111" r:id="rId_hyperlink_104" tooltip="Открыть карточку товара на сайте" display="Открыть карточку товара на сайте"/>
    <hyperlink ref="B112" r:id="rId_hyperlink_105" tooltip="Открыть карточку товара на сайте" display="Открыть карточку товара на сайте"/>
    <hyperlink ref="B113" r:id="rId_hyperlink_106" tooltip="Открыть карточку товара на сайте" display="Открыть карточку товара на сайте"/>
    <hyperlink ref="B114" r:id="rId_hyperlink_107" tooltip="Открыть карточку товара на сайте" display="Открыть карточку товара на сайте"/>
    <hyperlink ref="B115" r:id="rId_hyperlink_108" tooltip="Открыть карточку товара на сайте" display="Открыть карточку товара на сайте"/>
    <hyperlink ref="B116" r:id="rId_hyperlink_109" tooltip="Открыть карточку товара на сайте" display="Открыть карточку товара на сайте"/>
    <hyperlink ref="B117" r:id="rId_hyperlink_110" tooltip="Открыть карточку товара на сайте" display="Открыть карточку товара на сайте"/>
    <hyperlink ref="B118" r:id="rId_hyperlink_111" tooltip="Открыть карточку товара на сайте" display="Открыть карточку товара на сайте"/>
    <hyperlink ref="B119" r:id="rId_hyperlink_112" tooltip="Открыть карточку товара на сайте" display="Открыть карточку товара на сайте"/>
    <hyperlink ref="B120" r:id="rId_hyperlink_113" tooltip="Открыть карточку товара на сайте" display="Открыть карточку товара на сайте"/>
    <hyperlink ref="B121" r:id="rId_hyperlink_114" tooltip="Открыть карточку товара на сайте" display="Открыть карточку товара на сайте"/>
    <hyperlink ref="B122" r:id="rId_hyperlink_115" tooltip="Открыть карточку товара на сайте" display="Открыть карточку товара на сайте"/>
    <hyperlink ref="B123" r:id="rId_hyperlink_116" tooltip="Открыть карточку товара на сайте" display="Открыть карточку товара на сайте"/>
    <hyperlink ref="B124" r:id="rId_hyperlink_117" tooltip="Открыть карточку товара на сайте" display="Открыть карточку товара на сайте"/>
    <hyperlink ref="B125" r:id="rId_hyperlink_118" tooltip="Открыть карточку товара на сайте" display="Открыть карточку товара на сайте"/>
    <hyperlink ref="B126" r:id="rId_hyperlink_119" tooltip="Открыть карточку товара на сайте" display="Открыть карточку товара на сайте"/>
    <hyperlink ref="B127" r:id="rId_hyperlink_120" tooltip="Открыть карточку товара на сайте" display="Открыть карточку товара на сайте"/>
    <hyperlink ref="B128" r:id="rId_hyperlink_121" tooltip="Открыть карточку товара на сайте" display="Открыть карточку товара на сайте"/>
    <hyperlink ref="B129" r:id="rId_hyperlink_122" tooltip="Открыть карточку товара на сайте" display="Открыть карточку товара на сайте"/>
    <hyperlink ref="B130" r:id="rId_hyperlink_123" tooltip="Открыть карточку товара на сайте" display="Открыть карточку товара на сайте"/>
    <hyperlink ref="B131" r:id="rId_hyperlink_124" tooltip="Открыть карточку товара на сайте" display="Открыть карточку товара на сайте"/>
    <hyperlink ref="B132" r:id="rId_hyperlink_125" tooltip="Открыть карточку товара на сайте" display="Открыть карточку товара на сайте"/>
    <hyperlink ref="B133" r:id="rId_hyperlink_126" tooltip="Открыть карточку товара на сайте" display="Открыть карточку товара на сайте"/>
    <hyperlink ref="B134" r:id="rId_hyperlink_127" tooltip="Открыть карточку товара на сайте" display="Открыть карточку товара на сайте"/>
    <hyperlink ref="B135" r:id="rId_hyperlink_128" tooltip="Открыть карточку товара на сайте" display="Открыть карточку товара на сайте"/>
    <hyperlink ref="B136" r:id="rId_hyperlink_129" tooltip="Открыть карточку товара на сайте" display="Открыть карточку товара на сайте"/>
    <hyperlink ref="B137" r:id="rId_hyperlink_130" tooltip="Открыть карточку товара на сайте" display="Открыть карточку товара на сайте"/>
    <hyperlink ref="B138" r:id="rId_hyperlink_131" tooltip="Открыть карточку товара на сайте" display="Открыть карточку товара на сайте"/>
    <hyperlink ref="B139" r:id="rId_hyperlink_132" tooltip="Открыть карточку товара на сайте" display="Открыть карточку товара на сайте"/>
    <hyperlink ref="B140" r:id="rId_hyperlink_133" tooltip="Открыть карточку товара на сайте" display="Открыть карточку товара на сайте"/>
    <hyperlink ref="B141" r:id="rId_hyperlink_134" tooltip="Открыть карточку товара на сайте" display="Открыть карточку товара на сайте"/>
    <hyperlink ref="B142" r:id="rId_hyperlink_135" tooltip="Открыть карточку товара на сайте" display="Открыть карточку товара на сайте"/>
    <hyperlink ref="B143" r:id="rId_hyperlink_136" tooltip="Открыть карточку товара на сайте" display="Открыть карточку товара на сайте"/>
    <hyperlink ref="B144" r:id="rId_hyperlink_137" tooltip="Открыть карточку товара на сайте" display="Открыть карточку товара на сайте"/>
    <hyperlink ref="B145" r:id="rId_hyperlink_138" tooltip="Открыть карточку товара на сайте" display="Открыть карточку товара на сайте"/>
    <hyperlink ref="B146" r:id="rId_hyperlink_139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47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529</v>
      </c>
    </row>
    <row r="2" spans="1:12" customHeight="1" ht="26">
      <c r="A2" s="54" t="s">
        <v>530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531</v>
      </c>
      <c r="B6" s="56"/>
      <c r="C6" s="57" t="str">
        <f>'Прайс и заказ'!K148</f>
      </c>
      <c r="D6" s="58" t="s">
        <v>523</v>
      </c>
      <c r="E6" s="56"/>
      <c r="F6" s="57" t="str">
        <f>'Прайс и заказ'!K149</f>
      </c>
      <c r="G6" s="58" t="s">
        <v>524</v>
      </c>
      <c r="H6" s="56"/>
      <c r="I6" s="59" t="str">
        <f>'Прайс и заказ'!K150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532</v>
      </c>
      <c r="G8" s="60" t="s">
        <v>23</v>
      </c>
      <c r="H8" s="60" t="s">
        <v>24</v>
      </c>
      <c r="I8" s="60" t="s">
        <v>5</v>
      </c>
      <c r="J8" s="40" t="s">
        <v>525</v>
      </c>
      <c r="L8" s="40" t="s">
        <v>527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заказ'!$N$7:$N$146,0)+6,0)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заказ'!$N$7:$N$146,0)+6,0)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заказ'!$N$7:$N$146,0)+6,0)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заказ'!$N$7:$N$146,0)+6,0)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заказ'!$N$7:$N$146,0)+6,0)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заказ'!$N$7:$N$146,0)+6,0)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заказ'!$N$7:$N$146,0)+6,0)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заказ'!$N$7:$N$146,0)+6,0)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заказ'!$N$7:$N$146,0)+6,0)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заказ'!$N$7:$N$146,0)+6,0)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заказ'!$N$7:$N$146,0)+6,0)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заказ'!$N$7:$N$146,0)+6,0)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заказ'!$N$7:$N$146,0)+6,0)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заказ'!$N$7:$N$146,0)+6,0)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заказ'!$N$7:$N$146,0)+6,0)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заказ'!$N$7:$N$146,0)+6,0)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заказ'!$N$7:$N$146,0)+6,0)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заказ'!$N$7:$N$146,0)+6,0)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заказ'!$N$7:$N$146,0)+6,0)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заказ'!$N$7:$N$146,0)+6,0)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заказ'!$N$7:$N$146,0)+6,0)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заказ'!$N$7:$N$146,0)+6,0)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заказ'!$N$7:$N$146,0)+6,0)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заказ'!$N$7:$N$146,0)+6,0)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заказ'!$N$7:$N$146,0)+6,0)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заказ'!$N$7:$N$146,0)+6,0)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заказ'!$N$7:$N$146,0)+6,0)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заказ'!$N$7:$N$146,0)+6,0)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заказ'!$N$7:$N$146,0)+6,0)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заказ'!$N$7:$N$146,0)+6,0)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заказ'!$N$7:$N$146,0)+6,0)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заказ'!$N$7:$N$146,0)+6,0)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заказ'!$N$7:$N$146,0)+6,0)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заказ'!$N$7:$N$146,0)+6,0)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заказ'!$N$7:$N$146,0)+6,0)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заказ'!$N$7:$N$146,0)+6,0)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заказ'!$N$7:$N$146,0)+6,0)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заказ'!$N$7:$N$146,0)+6,0)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заказ'!$N$7:$N$146,0)+6,0)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заказ'!$N$7:$N$146,0)+6,0)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заказ'!$N$7:$N$146,0)+6,0)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заказ'!$N$7:$N$146,0)+6,0)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заказ'!$N$7:$N$146,0)+6,0)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заказ'!$N$7:$N$146,0)+6,0)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заказ'!$N$7:$N$146,0)+6,0)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заказ'!$N$7:$N$146,0)+6,0)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заказ'!$N$7:$N$146,0)+6,0)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заказ'!$N$7:$N$146,0)+6,0)</f>
      </c>
      <c r="L56" t="str">
        <f>IF($J56=0,"",IF(INDEX('Прайс и заказ'!Q:Q,$J56)="","",INDEX('Прайс и заказ'!Q:Q,$J56)))</f>
      </c>
    </row>
    <row r="57" spans="1:12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заказ'!$N$7:$N$146,0)+6,0)</f>
      </c>
      <c r="L57" t="str">
        <f>IF($J57=0,"",IF(INDEX('Прайс и заказ'!Q:Q,$J57)="","",INDEX('Прайс и заказ'!Q:Q,$J57)))</f>
      </c>
    </row>
    <row r="58" spans="1:12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заказ'!$N$7:$N$146,0)+6,0)</f>
      </c>
      <c r="L58" t="str">
        <f>IF($J58=0,"",IF(INDEX('Прайс и заказ'!Q:Q,$J58)="","",INDEX('Прайс и заказ'!Q:Q,$J58)))</f>
      </c>
    </row>
    <row r="59" spans="1:12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заказ'!$N$7:$N$146,0)+6,0)</f>
      </c>
      <c r="L59" t="str">
        <f>IF($J59=0,"",IF(INDEX('Прайс и заказ'!Q:Q,$J59)="","",INDEX('Прайс и заказ'!Q:Q,$J59)))</f>
      </c>
    </row>
    <row r="60" spans="1:12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заказ'!$N$7:$N$146,0)+6,0)</f>
      </c>
      <c r="L60" t="str">
        <f>IF($J60=0,"",IF(INDEX('Прайс и заказ'!Q:Q,$J60)="","",INDEX('Прайс и заказ'!Q:Q,$J60)))</f>
      </c>
    </row>
    <row r="61" spans="1:12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заказ'!$N$7:$N$146,0)+6,0)</f>
      </c>
      <c r="L61" t="str">
        <f>IF($J61=0,"",IF(INDEX('Прайс и заказ'!Q:Q,$J61)="","",INDEX('Прайс и заказ'!Q:Q,$J61)))</f>
      </c>
    </row>
    <row r="62" spans="1:12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заказ'!$N$7:$N$146,0)+6,0)</f>
      </c>
      <c r="L62" t="str">
        <f>IF($J62=0,"",IF(INDEX('Прайс и заказ'!Q:Q,$J62)="","",INDEX('Прайс и заказ'!Q:Q,$J62)))</f>
      </c>
    </row>
    <row r="63" spans="1:12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заказ'!$N$7:$N$146,0)+6,0)</f>
      </c>
      <c r="L63" t="str">
        <f>IF($J63=0,"",IF(INDEX('Прайс и заказ'!Q:Q,$J63)="","",INDEX('Прайс и заказ'!Q:Q,$J63)))</f>
      </c>
    </row>
    <row r="64" spans="1:12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заказ'!$N$7:$N$146,0)+6,0)</f>
      </c>
      <c r="L64" t="str">
        <f>IF($J64=0,"",IF(INDEX('Прайс и заказ'!Q:Q,$J64)="","",INDEX('Прайс и заказ'!Q:Q,$J64)))</f>
      </c>
    </row>
    <row r="65" spans="1:12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заказ'!$N$7:$N$146,0)+6,0)</f>
      </c>
      <c r="L65" t="str">
        <f>IF($J65=0,"",IF(INDEX('Прайс и заказ'!Q:Q,$J65)="","",INDEX('Прайс и заказ'!Q:Q,$J65)))</f>
      </c>
    </row>
    <row r="66" spans="1:12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заказ'!$N$7:$N$146,0)+6,0)</f>
      </c>
      <c r="L66" t="str">
        <f>IF($J66=0,"",IF(INDEX('Прайс и заказ'!Q:Q,$J66)="","",INDEX('Прайс и заказ'!Q:Q,$J66)))</f>
      </c>
    </row>
    <row r="67" spans="1:12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заказ'!$N$7:$N$146,0)+6,0)</f>
      </c>
      <c r="L67" t="str">
        <f>IF($J67=0,"",IF(INDEX('Прайс и заказ'!Q:Q,$J67)="","",INDEX('Прайс и заказ'!Q:Q,$J67)))</f>
      </c>
    </row>
    <row r="68" spans="1:12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заказ'!$N$7:$N$146,0)+6,0)</f>
      </c>
      <c r="L68" t="str">
        <f>IF($J68=0,"",IF(INDEX('Прайс и заказ'!Q:Q,$J68)="","",INDEX('Прайс и заказ'!Q:Q,$J68)))</f>
      </c>
    </row>
    <row r="69" spans="1:12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заказ'!$N$7:$N$146,0)+6,0)</f>
      </c>
      <c r="L69" t="str">
        <f>IF($J69=0,"",IF(INDEX('Прайс и заказ'!Q:Q,$J69)="","",INDEX('Прайс и заказ'!Q:Q,$J69)))</f>
      </c>
    </row>
    <row r="70" spans="1:12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заказ'!$N$7:$N$146,0)+6,0)</f>
      </c>
      <c r="L70" t="str">
        <f>IF($J70=0,"",IF(INDEX('Прайс и заказ'!Q:Q,$J70)="","",INDEX('Прайс и заказ'!Q:Q,$J70)))</f>
      </c>
    </row>
    <row r="71" spans="1:12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заказ'!$N$7:$N$146,0)+6,0)</f>
      </c>
      <c r="L71" t="str">
        <f>IF($J71=0,"",IF(INDEX('Прайс и заказ'!Q:Q,$J71)="","",INDEX('Прайс и заказ'!Q:Q,$J71)))</f>
      </c>
    </row>
    <row r="72" spans="1:12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заказ'!$N$7:$N$146,0)+6,0)</f>
      </c>
      <c r="L72" t="str">
        <f>IF($J72=0,"",IF(INDEX('Прайс и заказ'!Q:Q,$J72)="","",INDEX('Прайс и заказ'!Q:Q,$J72)))</f>
      </c>
    </row>
    <row r="73" spans="1:12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заказ'!$N$7:$N$146,0)+6,0)</f>
      </c>
      <c r="L73" t="str">
        <f>IF($J73=0,"",IF(INDEX('Прайс и заказ'!Q:Q,$J73)="","",INDEX('Прайс и заказ'!Q:Q,$J73)))</f>
      </c>
    </row>
    <row r="74" spans="1:12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заказ'!$N$7:$N$146,0)+6,0)</f>
      </c>
      <c r="L74" t="str">
        <f>IF($J74=0,"",IF(INDEX('Прайс и заказ'!Q:Q,$J74)="","",INDEX('Прайс и заказ'!Q:Q,$J74)))</f>
      </c>
    </row>
    <row r="75" spans="1:12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заказ'!$N$7:$N$146,0)+6,0)</f>
      </c>
      <c r="L75" t="str">
        <f>IF($J75=0,"",IF(INDEX('Прайс и заказ'!Q:Q,$J75)="","",INDEX('Прайс и заказ'!Q:Q,$J75)))</f>
      </c>
    </row>
    <row r="76" spans="1:12" customHeight="1" ht="40">
      <c r="A76" s="13" t="str">
        <f>IF($J76=0,"",IFERROR(_xlfn.IMAGE(INDEX('Прайс и заказ'!$O:$O,$J76)),""))</f>
      </c>
      <c r="B76" s="61" t="str">
        <f>IF($J76=0,"",IF(INDEX('Прайс и заказ'!B:B,$J76)="","",INDEX('Прайс и заказ'!B:B,$J76)))</f>
      </c>
      <c r="C76" s="64" t="str">
        <f>IF($J76=0,"",IF(INDEX('Прайс и заказ'!C:C,$J76)="","",INDEX('Прайс и заказ'!C:C,$J76)))</f>
      </c>
      <c r="D76" s="64" t="str">
        <f>IF($J76=0,"",IF(INDEX('Прайс и заказ'!D:D,$J76)="","",INDEX('Прайс и заказ'!D:D,$J76)))</f>
      </c>
      <c r="E76" s="61" t="str">
        <f>IF($J76=0,"",IF(INDEX('Прайс и заказ'!F:F,$J76)="","",INDEX('Прайс и заказ'!F:F,$J76)))</f>
      </c>
      <c r="F76" s="62" t="str">
        <f>IF($J76=0,"",IF(INDEX('Прайс и заказ'!I:I,$J76)="","",INDEX('Прайс и заказ'!I:I,$J76)))</f>
      </c>
      <c r="G76" s="63" t="str">
        <f>IF($J76=0,"",IF(INDEX('Прайс и заказ'!K:K,$J76)="","",INDEX('Прайс и заказ'!K:K,$J76)))</f>
      </c>
      <c r="H76" s="62" t="str">
        <f>IF($J76=0,"",IF(INDEX('Прайс и заказ'!L:L,$J76)="","",INDEX('Прайс и заказ'!L:L,$J76)))</f>
      </c>
      <c r="I76" s="13" t="str">
        <f>IF($J76=0,"",IF(INDEX('Прайс и заказ'!M:M,$J76)="","",INDEX('Прайс и заказ'!M:M,$J76)))</f>
      </c>
      <c r="J76" t="str">
        <f>IFERROR(MATCH(68,'Прайс и заказ'!$N$7:$N$146,0)+6,0)</f>
      </c>
      <c r="L76" t="str">
        <f>IF($J76=0,"",IF(INDEX('Прайс и заказ'!Q:Q,$J76)="","",INDEX('Прайс и заказ'!Q:Q,$J76)))</f>
      </c>
    </row>
    <row r="77" spans="1:12" customHeight="1" ht="40">
      <c r="A77" s="13" t="str">
        <f>IF($J77=0,"",IFERROR(_xlfn.IMAGE(INDEX('Прайс и заказ'!$O:$O,$J77)),""))</f>
      </c>
      <c r="B77" s="61" t="str">
        <f>IF($J77=0,"",IF(INDEX('Прайс и заказ'!B:B,$J77)="","",INDEX('Прайс и заказ'!B:B,$J77)))</f>
      </c>
      <c r="C77" s="64" t="str">
        <f>IF($J77=0,"",IF(INDEX('Прайс и заказ'!C:C,$J77)="","",INDEX('Прайс и заказ'!C:C,$J77)))</f>
      </c>
      <c r="D77" s="64" t="str">
        <f>IF($J77=0,"",IF(INDEX('Прайс и заказ'!D:D,$J77)="","",INDEX('Прайс и заказ'!D:D,$J77)))</f>
      </c>
      <c r="E77" s="61" t="str">
        <f>IF($J77=0,"",IF(INDEX('Прайс и заказ'!F:F,$J77)="","",INDEX('Прайс и заказ'!F:F,$J77)))</f>
      </c>
      <c r="F77" s="62" t="str">
        <f>IF($J77=0,"",IF(INDEX('Прайс и заказ'!I:I,$J77)="","",INDEX('Прайс и заказ'!I:I,$J77)))</f>
      </c>
      <c r="G77" s="63" t="str">
        <f>IF($J77=0,"",IF(INDEX('Прайс и заказ'!K:K,$J77)="","",INDEX('Прайс и заказ'!K:K,$J77)))</f>
      </c>
      <c r="H77" s="62" t="str">
        <f>IF($J77=0,"",IF(INDEX('Прайс и заказ'!L:L,$J77)="","",INDEX('Прайс и заказ'!L:L,$J77)))</f>
      </c>
      <c r="I77" s="13" t="str">
        <f>IF($J77=0,"",IF(INDEX('Прайс и заказ'!M:M,$J77)="","",INDEX('Прайс и заказ'!M:M,$J77)))</f>
      </c>
      <c r="J77" t="str">
        <f>IFERROR(MATCH(69,'Прайс и заказ'!$N$7:$N$146,0)+6,0)</f>
      </c>
      <c r="L77" t="str">
        <f>IF($J77=0,"",IF(INDEX('Прайс и заказ'!Q:Q,$J77)="","",INDEX('Прайс и заказ'!Q:Q,$J77)))</f>
      </c>
    </row>
    <row r="78" spans="1:12" customHeight="1" ht="40">
      <c r="A78" s="13" t="str">
        <f>IF($J78=0,"",IFERROR(_xlfn.IMAGE(INDEX('Прайс и заказ'!$O:$O,$J78)),""))</f>
      </c>
      <c r="B78" s="61" t="str">
        <f>IF($J78=0,"",IF(INDEX('Прайс и заказ'!B:B,$J78)="","",INDEX('Прайс и заказ'!B:B,$J78)))</f>
      </c>
      <c r="C78" s="64" t="str">
        <f>IF($J78=0,"",IF(INDEX('Прайс и заказ'!C:C,$J78)="","",INDEX('Прайс и заказ'!C:C,$J78)))</f>
      </c>
      <c r="D78" s="64" t="str">
        <f>IF($J78=0,"",IF(INDEX('Прайс и заказ'!D:D,$J78)="","",INDEX('Прайс и заказ'!D:D,$J78)))</f>
      </c>
      <c r="E78" s="61" t="str">
        <f>IF($J78=0,"",IF(INDEX('Прайс и заказ'!F:F,$J78)="","",INDEX('Прайс и заказ'!F:F,$J78)))</f>
      </c>
      <c r="F78" s="62" t="str">
        <f>IF($J78=0,"",IF(INDEX('Прайс и заказ'!I:I,$J78)="","",INDEX('Прайс и заказ'!I:I,$J78)))</f>
      </c>
      <c r="G78" s="63" t="str">
        <f>IF($J78=0,"",IF(INDEX('Прайс и заказ'!K:K,$J78)="","",INDEX('Прайс и заказ'!K:K,$J78)))</f>
      </c>
      <c r="H78" s="62" t="str">
        <f>IF($J78=0,"",IF(INDEX('Прайс и заказ'!L:L,$J78)="","",INDEX('Прайс и заказ'!L:L,$J78)))</f>
      </c>
      <c r="I78" s="13" t="str">
        <f>IF($J78=0,"",IF(INDEX('Прайс и заказ'!M:M,$J78)="","",INDEX('Прайс и заказ'!M:M,$J78)))</f>
      </c>
      <c r="J78" t="str">
        <f>IFERROR(MATCH(70,'Прайс и заказ'!$N$7:$N$146,0)+6,0)</f>
      </c>
      <c r="L78" t="str">
        <f>IF($J78=0,"",IF(INDEX('Прайс и заказ'!Q:Q,$J78)="","",INDEX('Прайс и заказ'!Q:Q,$J78)))</f>
      </c>
    </row>
    <row r="79" spans="1:12" customHeight="1" ht="40">
      <c r="A79" s="13" t="str">
        <f>IF($J79=0,"",IFERROR(_xlfn.IMAGE(INDEX('Прайс и заказ'!$O:$O,$J79)),""))</f>
      </c>
      <c r="B79" s="61" t="str">
        <f>IF($J79=0,"",IF(INDEX('Прайс и заказ'!B:B,$J79)="","",INDEX('Прайс и заказ'!B:B,$J79)))</f>
      </c>
      <c r="C79" s="64" t="str">
        <f>IF($J79=0,"",IF(INDEX('Прайс и заказ'!C:C,$J79)="","",INDEX('Прайс и заказ'!C:C,$J79)))</f>
      </c>
      <c r="D79" s="64" t="str">
        <f>IF($J79=0,"",IF(INDEX('Прайс и заказ'!D:D,$J79)="","",INDEX('Прайс и заказ'!D:D,$J79)))</f>
      </c>
      <c r="E79" s="61" t="str">
        <f>IF($J79=0,"",IF(INDEX('Прайс и заказ'!F:F,$J79)="","",INDEX('Прайс и заказ'!F:F,$J79)))</f>
      </c>
      <c r="F79" s="62" t="str">
        <f>IF($J79=0,"",IF(INDEX('Прайс и заказ'!I:I,$J79)="","",INDEX('Прайс и заказ'!I:I,$J79)))</f>
      </c>
      <c r="G79" s="63" t="str">
        <f>IF($J79=0,"",IF(INDEX('Прайс и заказ'!K:K,$J79)="","",INDEX('Прайс и заказ'!K:K,$J79)))</f>
      </c>
      <c r="H79" s="62" t="str">
        <f>IF($J79=0,"",IF(INDEX('Прайс и заказ'!L:L,$J79)="","",INDEX('Прайс и заказ'!L:L,$J79)))</f>
      </c>
      <c r="I79" s="13" t="str">
        <f>IF($J79=0,"",IF(INDEX('Прайс и заказ'!M:M,$J79)="","",INDEX('Прайс и заказ'!M:M,$J79)))</f>
      </c>
      <c r="J79" t="str">
        <f>IFERROR(MATCH(71,'Прайс и заказ'!$N$7:$N$146,0)+6,0)</f>
      </c>
      <c r="L79" t="str">
        <f>IF($J79=0,"",IF(INDEX('Прайс и заказ'!Q:Q,$J79)="","",INDEX('Прайс и заказ'!Q:Q,$J79)))</f>
      </c>
    </row>
    <row r="80" spans="1:12" customHeight="1" ht="40">
      <c r="A80" s="13" t="str">
        <f>IF($J80=0,"",IFERROR(_xlfn.IMAGE(INDEX('Прайс и заказ'!$O:$O,$J80)),""))</f>
      </c>
      <c r="B80" s="61" t="str">
        <f>IF($J80=0,"",IF(INDEX('Прайс и заказ'!B:B,$J80)="","",INDEX('Прайс и заказ'!B:B,$J80)))</f>
      </c>
      <c r="C80" s="64" t="str">
        <f>IF($J80=0,"",IF(INDEX('Прайс и заказ'!C:C,$J80)="","",INDEX('Прайс и заказ'!C:C,$J80)))</f>
      </c>
      <c r="D80" s="64" t="str">
        <f>IF($J80=0,"",IF(INDEX('Прайс и заказ'!D:D,$J80)="","",INDEX('Прайс и заказ'!D:D,$J80)))</f>
      </c>
      <c r="E80" s="61" t="str">
        <f>IF($J80=0,"",IF(INDEX('Прайс и заказ'!F:F,$J80)="","",INDEX('Прайс и заказ'!F:F,$J80)))</f>
      </c>
      <c r="F80" s="62" t="str">
        <f>IF($J80=0,"",IF(INDEX('Прайс и заказ'!I:I,$J80)="","",INDEX('Прайс и заказ'!I:I,$J80)))</f>
      </c>
      <c r="G80" s="63" t="str">
        <f>IF($J80=0,"",IF(INDEX('Прайс и заказ'!K:K,$J80)="","",INDEX('Прайс и заказ'!K:K,$J80)))</f>
      </c>
      <c r="H80" s="62" t="str">
        <f>IF($J80=0,"",IF(INDEX('Прайс и заказ'!L:L,$J80)="","",INDEX('Прайс и заказ'!L:L,$J80)))</f>
      </c>
      <c r="I80" s="13" t="str">
        <f>IF($J80=0,"",IF(INDEX('Прайс и заказ'!M:M,$J80)="","",INDEX('Прайс и заказ'!M:M,$J80)))</f>
      </c>
      <c r="J80" t="str">
        <f>IFERROR(MATCH(72,'Прайс и заказ'!$N$7:$N$146,0)+6,0)</f>
      </c>
      <c r="L80" t="str">
        <f>IF($J80=0,"",IF(INDEX('Прайс и заказ'!Q:Q,$J80)="","",INDEX('Прайс и заказ'!Q:Q,$J80)))</f>
      </c>
    </row>
    <row r="81" spans="1:12" customHeight="1" ht="40">
      <c r="A81" s="13" t="str">
        <f>IF($J81=0,"",IFERROR(_xlfn.IMAGE(INDEX('Прайс и заказ'!$O:$O,$J81)),""))</f>
      </c>
      <c r="B81" s="61" t="str">
        <f>IF($J81=0,"",IF(INDEX('Прайс и заказ'!B:B,$J81)="","",INDEX('Прайс и заказ'!B:B,$J81)))</f>
      </c>
      <c r="C81" s="64" t="str">
        <f>IF($J81=0,"",IF(INDEX('Прайс и заказ'!C:C,$J81)="","",INDEX('Прайс и заказ'!C:C,$J81)))</f>
      </c>
      <c r="D81" s="64" t="str">
        <f>IF($J81=0,"",IF(INDEX('Прайс и заказ'!D:D,$J81)="","",INDEX('Прайс и заказ'!D:D,$J81)))</f>
      </c>
      <c r="E81" s="61" t="str">
        <f>IF($J81=0,"",IF(INDEX('Прайс и заказ'!F:F,$J81)="","",INDEX('Прайс и заказ'!F:F,$J81)))</f>
      </c>
      <c r="F81" s="62" t="str">
        <f>IF($J81=0,"",IF(INDEX('Прайс и заказ'!I:I,$J81)="","",INDEX('Прайс и заказ'!I:I,$J81)))</f>
      </c>
      <c r="G81" s="63" t="str">
        <f>IF($J81=0,"",IF(INDEX('Прайс и заказ'!K:K,$J81)="","",INDEX('Прайс и заказ'!K:K,$J81)))</f>
      </c>
      <c r="H81" s="62" t="str">
        <f>IF($J81=0,"",IF(INDEX('Прайс и заказ'!L:L,$J81)="","",INDEX('Прайс и заказ'!L:L,$J81)))</f>
      </c>
      <c r="I81" s="13" t="str">
        <f>IF($J81=0,"",IF(INDEX('Прайс и заказ'!M:M,$J81)="","",INDEX('Прайс и заказ'!M:M,$J81)))</f>
      </c>
      <c r="J81" t="str">
        <f>IFERROR(MATCH(73,'Прайс и заказ'!$N$7:$N$146,0)+6,0)</f>
      </c>
      <c r="L81" t="str">
        <f>IF($J81=0,"",IF(INDEX('Прайс и заказ'!Q:Q,$J81)="","",INDEX('Прайс и заказ'!Q:Q,$J81)))</f>
      </c>
    </row>
    <row r="82" spans="1:12" customHeight="1" ht="40">
      <c r="A82" s="13" t="str">
        <f>IF($J82=0,"",IFERROR(_xlfn.IMAGE(INDEX('Прайс и заказ'!$O:$O,$J82)),""))</f>
      </c>
      <c r="B82" s="61" t="str">
        <f>IF($J82=0,"",IF(INDEX('Прайс и заказ'!B:B,$J82)="","",INDEX('Прайс и заказ'!B:B,$J82)))</f>
      </c>
      <c r="C82" s="64" t="str">
        <f>IF($J82=0,"",IF(INDEX('Прайс и заказ'!C:C,$J82)="","",INDEX('Прайс и заказ'!C:C,$J82)))</f>
      </c>
      <c r="D82" s="64" t="str">
        <f>IF($J82=0,"",IF(INDEX('Прайс и заказ'!D:D,$J82)="","",INDEX('Прайс и заказ'!D:D,$J82)))</f>
      </c>
      <c r="E82" s="61" t="str">
        <f>IF($J82=0,"",IF(INDEX('Прайс и заказ'!F:F,$J82)="","",INDEX('Прайс и заказ'!F:F,$J82)))</f>
      </c>
      <c r="F82" s="62" t="str">
        <f>IF($J82=0,"",IF(INDEX('Прайс и заказ'!I:I,$J82)="","",INDEX('Прайс и заказ'!I:I,$J82)))</f>
      </c>
      <c r="G82" s="63" t="str">
        <f>IF($J82=0,"",IF(INDEX('Прайс и заказ'!K:K,$J82)="","",INDEX('Прайс и заказ'!K:K,$J82)))</f>
      </c>
      <c r="H82" s="62" t="str">
        <f>IF($J82=0,"",IF(INDEX('Прайс и заказ'!L:L,$J82)="","",INDEX('Прайс и заказ'!L:L,$J82)))</f>
      </c>
      <c r="I82" s="13" t="str">
        <f>IF($J82=0,"",IF(INDEX('Прайс и заказ'!M:M,$J82)="","",INDEX('Прайс и заказ'!M:M,$J82)))</f>
      </c>
      <c r="J82" t="str">
        <f>IFERROR(MATCH(74,'Прайс и заказ'!$N$7:$N$146,0)+6,0)</f>
      </c>
      <c r="L82" t="str">
        <f>IF($J82=0,"",IF(INDEX('Прайс и заказ'!Q:Q,$J82)="","",INDEX('Прайс и заказ'!Q:Q,$J82)))</f>
      </c>
    </row>
    <row r="83" spans="1:12" customHeight="1" ht="40">
      <c r="A83" s="13" t="str">
        <f>IF($J83=0,"",IFERROR(_xlfn.IMAGE(INDEX('Прайс и заказ'!$O:$O,$J83)),""))</f>
      </c>
      <c r="B83" s="61" t="str">
        <f>IF($J83=0,"",IF(INDEX('Прайс и заказ'!B:B,$J83)="","",INDEX('Прайс и заказ'!B:B,$J83)))</f>
      </c>
      <c r="C83" s="64" t="str">
        <f>IF($J83=0,"",IF(INDEX('Прайс и заказ'!C:C,$J83)="","",INDEX('Прайс и заказ'!C:C,$J83)))</f>
      </c>
      <c r="D83" s="64" t="str">
        <f>IF($J83=0,"",IF(INDEX('Прайс и заказ'!D:D,$J83)="","",INDEX('Прайс и заказ'!D:D,$J83)))</f>
      </c>
      <c r="E83" s="61" t="str">
        <f>IF($J83=0,"",IF(INDEX('Прайс и заказ'!F:F,$J83)="","",INDEX('Прайс и заказ'!F:F,$J83)))</f>
      </c>
      <c r="F83" s="62" t="str">
        <f>IF($J83=0,"",IF(INDEX('Прайс и заказ'!I:I,$J83)="","",INDEX('Прайс и заказ'!I:I,$J83)))</f>
      </c>
      <c r="G83" s="63" t="str">
        <f>IF($J83=0,"",IF(INDEX('Прайс и заказ'!K:K,$J83)="","",INDEX('Прайс и заказ'!K:K,$J83)))</f>
      </c>
      <c r="H83" s="62" t="str">
        <f>IF($J83=0,"",IF(INDEX('Прайс и заказ'!L:L,$J83)="","",INDEX('Прайс и заказ'!L:L,$J83)))</f>
      </c>
      <c r="I83" s="13" t="str">
        <f>IF($J83=0,"",IF(INDEX('Прайс и заказ'!M:M,$J83)="","",INDEX('Прайс и заказ'!M:M,$J83)))</f>
      </c>
      <c r="J83" t="str">
        <f>IFERROR(MATCH(75,'Прайс и заказ'!$N$7:$N$146,0)+6,0)</f>
      </c>
      <c r="L83" t="str">
        <f>IF($J83=0,"",IF(INDEX('Прайс и заказ'!Q:Q,$J83)="","",INDEX('Прайс и заказ'!Q:Q,$J83)))</f>
      </c>
    </row>
    <row r="84" spans="1:12" customHeight="1" ht="40">
      <c r="A84" s="13" t="str">
        <f>IF($J84=0,"",IFERROR(_xlfn.IMAGE(INDEX('Прайс и заказ'!$O:$O,$J84)),""))</f>
      </c>
      <c r="B84" s="61" t="str">
        <f>IF($J84=0,"",IF(INDEX('Прайс и заказ'!B:B,$J84)="","",INDEX('Прайс и заказ'!B:B,$J84)))</f>
      </c>
      <c r="C84" s="64" t="str">
        <f>IF($J84=0,"",IF(INDEX('Прайс и заказ'!C:C,$J84)="","",INDEX('Прайс и заказ'!C:C,$J84)))</f>
      </c>
      <c r="D84" s="64" t="str">
        <f>IF($J84=0,"",IF(INDEX('Прайс и заказ'!D:D,$J84)="","",INDEX('Прайс и заказ'!D:D,$J84)))</f>
      </c>
      <c r="E84" s="61" t="str">
        <f>IF($J84=0,"",IF(INDEX('Прайс и заказ'!F:F,$J84)="","",INDEX('Прайс и заказ'!F:F,$J84)))</f>
      </c>
      <c r="F84" s="62" t="str">
        <f>IF($J84=0,"",IF(INDEX('Прайс и заказ'!I:I,$J84)="","",INDEX('Прайс и заказ'!I:I,$J84)))</f>
      </c>
      <c r="G84" s="63" t="str">
        <f>IF($J84=0,"",IF(INDEX('Прайс и заказ'!K:K,$J84)="","",INDEX('Прайс и заказ'!K:K,$J84)))</f>
      </c>
      <c r="H84" s="62" t="str">
        <f>IF($J84=0,"",IF(INDEX('Прайс и заказ'!L:L,$J84)="","",INDEX('Прайс и заказ'!L:L,$J84)))</f>
      </c>
      <c r="I84" s="13" t="str">
        <f>IF($J84=0,"",IF(INDEX('Прайс и заказ'!M:M,$J84)="","",INDEX('Прайс и заказ'!M:M,$J84)))</f>
      </c>
      <c r="J84" t="str">
        <f>IFERROR(MATCH(76,'Прайс и заказ'!$N$7:$N$146,0)+6,0)</f>
      </c>
      <c r="L84" t="str">
        <f>IF($J84=0,"",IF(INDEX('Прайс и заказ'!Q:Q,$J84)="","",INDEX('Прайс и заказ'!Q:Q,$J84)))</f>
      </c>
    </row>
    <row r="85" spans="1:12" customHeight="1" ht="40">
      <c r="A85" s="13" t="str">
        <f>IF($J85=0,"",IFERROR(_xlfn.IMAGE(INDEX('Прайс и заказ'!$O:$O,$J85)),""))</f>
      </c>
      <c r="B85" s="61" t="str">
        <f>IF($J85=0,"",IF(INDEX('Прайс и заказ'!B:B,$J85)="","",INDEX('Прайс и заказ'!B:B,$J85)))</f>
      </c>
      <c r="C85" s="64" t="str">
        <f>IF($J85=0,"",IF(INDEX('Прайс и заказ'!C:C,$J85)="","",INDEX('Прайс и заказ'!C:C,$J85)))</f>
      </c>
      <c r="D85" s="64" t="str">
        <f>IF($J85=0,"",IF(INDEX('Прайс и заказ'!D:D,$J85)="","",INDEX('Прайс и заказ'!D:D,$J85)))</f>
      </c>
      <c r="E85" s="61" t="str">
        <f>IF($J85=0,"",IF(INDEX('Прайс и заказ'!F:F,$J85)="","",INDEX('Прайс и заказ'!F:F,$J85)))</f>
      </c>
      <c r="F85" s="62" t="str">
        <f>IF($J85=0,"",IF(INDEX('Прайс и заказ'!I:I,$J85)="","",INDEX('Прайс и заказ'!I:I,$J85)))</f>
      </c>
      <c r="G85" s="63" t="str">
        <f>IF($J85=0,"",IF(INDEX('Прайс и заказ'!K:K,$J85)="","",INDEX('Прайс и заказ'!K:K,$J85)))</f>
      </c>
      <c r="H85" s="62" t="str">
        <f>IF($J85=0,"",IF(INDEX('Прайс и заказ'!L:L,$J85)="","",INDEX('Прайс и заказ'!L:L,$J85)))</f>
      </c>
      <c r="I85" s="13" t="str">
        <f>IF($J85=0,"",IF(INDEX('Прайс и заказ'!M:M,$J85)="","",INDEX('Прайс и заказ'!M:M,$J85)))</f>
      </c>
      <c r="J85" t="str">
        <f>IFERROR(MATCH(77,'Прайс и заказ'!$N$7:$N$146,0)+6,0)</f>
      </c>
      <c r="L85" t="str">
        <f>IF($J85=0,"",IF(INDEX('Прайс и заказ'!Q:Q,$J85)="","",INDEX('Прайс и заказ'!Q:Q,$J85)))</f>
      </c>
    </row>
    <row r="86" spans="1:12" customHeight="1" ht="40">
      <c r="A86" s="13" t="str">
        <f>IF($J86=0,"",IFERROR(_xlfn.IMAGE(INDEX('Прайс и заказ'!$O:$O,$J86)),""))</f>
      </c>
      <c r="B86" s="61" t="str">
        <f>IF($J86=0,"",IF(INDEX('Прайс и заказ'!B:B,$J86)="","",INDEX('Прайс и заказ'!B:B,$J86)))</f>
      </c>
      <c r="C86" s="64" t="str">
        <f>IF($J86=0,"",IF(INDEX('Прайс и заказ'!C:C,$J86)="","",INDEX('Прайс и заказ'!C:C,$J86)))</f>
      </c>
      <c r="D86" s="64" t="str">
        <f>IF($J86=0,"",IF(INDEX('Прайс и заказ'!D:D,$J86)="","",INDEX('Прайс и заказ'!D:D,$J86)))</f>
      </c>
      <c r="E86" s="61" t="str">
        <f>IF($J86=0,"",IF(INDEX('Прайс и заказ'!F:F,$J86)="","",INDEX('Прайс и заказ'!F:F,$J86)))</f>
      </c>
      <c r="F86" s="62" t="str">
        <f>IF($J86=0,"",IF(INDEX('Прайс и заказ'!I:I,$J86)="","",INDEX('Прайс и заказ'!I:I,$J86)))</f>
      </c>
      <c r="G86" s="63" t="str">
        <f>IF($J86=0,"",IF(INDEX('Прайс и заказ'!K:K,$J86)="","",INDEX('Прайс и заказ'!K:K,$J86)))</f>
      </c>
      <c r="H86" s="62" t="str">
        <f>IF($J86=0,"",IF(INDEX('Прайс и заказ'!L:L,$J86)="","",INDEX('Прайс и заказ'!L:L,$J86)))</f>
      </c>
      <c r="I86" s="13" t="str">
        <f>IF($J86=0,"",IF(INDEX('Прайс и заказ'!M:M,$J86)="","",INDEX('Прайс и заказ'!M:M,$J86)))</f>
      </c>
      <c r="J86" t="str">
        <f>IFERROR(MATCH(78,'Прайс и заказ'!$N$7:$N$146,0)+6,0)</f>
      </c>
      <c r="L86" t="str">
        <f>IF($J86=0,"",IF(INDEX('Прайс и заказ'!Q:Q,$J86)="","",INDEX('Прайс и заказ'!Q:Q,$J86)))</f>
      </c>
    </row>
    <row r="87" spans="1:12" customHeight="1" ht="40">
      <c r="A87" s="13" t="str">
        <f>IF($J87=0,"",IFERROR(_xlfn.IMAGE(INDEX('Прайс и заказ'!$O:$O,$J87)),""))</f>
      </c>
      <c r="B87" s="61" t="str">
        <f>IF($J87=0,"",IF(INDEX('Прайс и заказ'!B:B,$J87)="","",INDEX('Прайс и заказ'!B:B,$J87)))</f>
      </c>
      <c r="C87" s="64" t="str">
        <f>IF($J87=0,"",IF(INDEX('Прайс и заказ'!C:C,$J87)="","",INDEX('Прайс и заказ'!C:C,$J87)))</f>
      </c>
      <c r="D87" s="64" t="str">
        <f>IF($J87=0,"",IF(INDEX('Прайс и заказ'!D:D,$J87)="","",INDEX('Прайс и заказ'!D:D,$J87)))</f>
      </c>
      <c r="E87" s="61" t="str">
        <f>IF($J87=0,"",IF(INDEX('Прайс и заказ'!F:F,$J87)="","",INDEX('Прайс и заказ'!F:F,$J87)))</f>
      </c>
      <c r="F87" s="62" t="str">
        <f>IF($J87=0,"",IF(INDEX('Прайс и заказ'!I:I,$J87)="","",INDEX('Прайс и заказ'!I:I,$J87)))</f>
      </c>
      <c r="G87" s="63" t="str">
        <f>IF($J87=0,"",IF(INDEX('Прайс и заказ'!K:K,$J87)="","",INDEX('Прайс и заказ'!K:K,$J87)))</f>
      </c>
      <c r="H87" s="62" t="str">
        <f>IF($J87=0,"",IF(INDEX('Прайс и заказ'!L:L,$J87)="","",INDEX('Прайс и заказ'!L:L,$J87)))</f>
      </c>
      <c r="I87" s="13" t="str">
        <f>IF($J87=0,"",IF(INDEX('Прайс и заказ'!M:M,$J87)="","",INDEX('Прайс и заказ'!M:M,$J87)))</f>
      </c>
      <c r="J87" t="str">
        <f>IFERROR(MATCH(79,'Прайс и заказ'!$N$7:$N$146,0)+6,0)</f>
      </c>
      <c r="L87" t="str">
        <f>IF($J87=0,"",IF(INDEX('Прайс и заказ'!Q:Q,$J87)="","",INDEX('Прайс и заказ'!Q:Q,$J87)))</f>
      </c>
    </row>
    <row r="88" spans="1:12" customHeight="1" ht="40">
      <c r="A88" s="13" t="str">
        <f>IF($J88=0,"",IFERROR(_xlfn.IMAGE(INDEX('Прайс и заказ'!$O:$O,$J88)),""))</f>
      </c>
      <c r="B88" s="61" t="str">
        <f>IF($J88=0,"",IF(INDEX('Прайс и заказ'!B:B,$J88)="","",INDEX('Прайс и заказ'!B:B,$J88)))</f>
      </c>
      <c r="C88" s="64" t="str">
        <f>IF($J88=0,"",IF(INDEX('Прайс и заказ'!C:C,$J88)="","",INDEX('Прайс и заказ'!C:C,$J88)))</f>
      </c>
      <c r="D88" s="64" t="str">
        <f>IF($J88=0,"",IF(INDEX('Прайс и заказ'!D:D,$J88)="","",INDEX('Прайс и заказ'!D:D,$J88)))</f>
      </c>
      <c r="E88" s="61" t="str">
        <f>IF($J88=0,"",IF(INDEX('Прайс и заказ'!F:F,$J88)="","",INDEX('Прайс и заказ'!F:F,$J88)))</f>
      </c>
      <c r="F88" s="62" t="str">
        <f>IF($J88=0,"",IF(INDEX('Прайс и заказ'!I:I,$J88)="","",INDEX('Прайс и заказ'!I:I,$J88)))</f>
      </c>
      <c r="G88" s="63" t="str">
        <f>IF($J88=0,"",IF(INDEX('Прайс и заказ'!K:K,$J88)="","",INDEX('Прайс и заказ'!K:K,$J88)))</f>
      </c>
      <c r="H88" s="62" t="str">
        <f>IF($J88=0,"",IF(INDEX('Прайс и заказ'!L:L,$J88)="","",INDEX('Прайс и заказ'!L:L,$J88)))</f>
      </c>
      <c r="I88" s="13" t="str">
        <f>IF($J88=0,"",IF(INDEX('Прайс и заказ'!M:M,$J88)="","",INDEX('Прайс и заказ'!M:M,$J88)))</f>
      </c>
      <c r="J88" t="str">
        <f>IFERROR(MATCH(80,'Прайс и заказ'!$N$7:$N$146,0)+6,0)</f>
      </c>
      <c r="L88" t="str">
        <f>IF($J88=0,"",IF(INDEX('Прайс и заказ'!Q:Q,$J88)="","",INDEX('Прайс и заказ'!Q:Q,$J88)))</f>
      </c>
    </row>
    <row r="89" spans="1:12" customHeight="1" ht="40">
      <c r="A89" s="13" t="str">
        <f>IF($J89=0,"",IFERROR(_xlfn.IMAGE(INDEX('Прайс и заказ'!$O:$O,$J89)),""))</f>
      </c>
      <c r="B89" s="61" t="str">
        <f>IF($J89=0,"",IF(INDEX('Прайс и заказ'!B:B,$J89)="","",INDEX('Прайс и заказ'!B:B,$J89)))</f>
      </c>
      <c r="C89" s="64" t="str">
        <f>IF($J89=0,"",IF(INDEX('Прайс и заказ'!C:C,$J89)="","",INDEX('Прайс и заказ'!C:C,$J89)))</f>
      </c>
      <c r="D89" s="64" t="str">
        <f>IF($J89=0,"",IF(INDEX('Прайс и заказ'!D:D,$J89)="","",INDEX('Прайс и заказ'!D:D,$J89)))</f>
      </c>
      <c r="E89" s="61" t="str">
        <f>IF($J89=0,"",IF(INDEX('Прайс и заказ'!F:F,$J89)="","",INDEX('Прайс и заказ'!F:F,$J89)))</f>
      </c>
      <c r="F89" s="62" t="str">
        <f>IF($J89=0,"",IF(INDEX('Прайс и заказ'!I:I,$J89)="","",INDEX('Прайс и заказ'!I:I,$J89)))</f>
      </c>
      <c r="G89" s="63" t="str">
        <f>IF($J89=0,"",IF(INDEX('Прайс и заказ'!K:K,$J89)="","",INDEX('Прайс и заказ'!K:K,$J89)))</f>
      </c>
      <c r="H89" s="62" t="str">
        <f>IF($J89=0,"",IF(INDEX('Прайс и заказ'!L:L,$J89)="","",INDEX('Прайс и заказ'!L:L,$J89)))</f>
      </c>
      <c r="I89" s="13" t="str">
        <f>IF($J89=0,"",IF(INDEX('Прайс и заказ'!M:M,$J89)="","",INDEX('Прайс и заказ'!M:M,$J89)))</f>
      </c>
      <c r="J89" t="str">
        <f>IFERROR(MATCH(81,'Прайс и заказ'!$N$7:$N$146,0)+6,0)</f>
      </c>
      <c r="L89" t="str">
        <f>IF($J89=0,"",IF(INDEX('Прайс и заказ'!Q:Q,$J89)="","",INDEX('Прайс и заказ'!Q:Q,$J89)))</f>
      </c>
    </row>
    <row r="90" spans="1:12" customHeight="1" ht="40">
      <c r="A90" s="13" t="str">
        <f>IF($J90=0,"",IFERROR(_xlfn.IMAGE(INDEX('Прайс и заказ'!$O:$O,$J90)),""))</f>
      </c>
      <c r="B90" s="61" t="str">
        <f>IF($J90=0,"",IF(INDEX('Прайс и заказ'!B:B,$J90)="","",INDEX('Прайс и заказ'!B:B,$J90)))</f>
      </c>
      <c r="C90" s="64" t="str">
        <f>IF($J90=0,"",IF(INDEX('Прайс и заказ'!C:C,$J90)="","",INDEX('Прайс и заказ'!C:C,$J90)))</f>
      </c>
      <c r="D90" s="64" t="str">
        <f>IF($J90=0,"",IF(INDEX('Прайс и заказ'!D:D,$J90)="","",INDEX('Прайс и заказ'!D:D,$J90)))</f>
      </c>
      <c r="E90" s="61" t="str">
        <f>IF($J90=0,"",IF(INDEX('Прайс и заказ'!F:F,$J90)="","",INDEX('Прайс и заказ'!F:F,$J90)))</f>
      </c>
      <c r="F90" s="62" t="str">
        <f>IF($J90=0,"",IF(INDEX('Прайс и заказ'!I:I,$J90)="","",INDEX('Прайс и заказ'!I:I,$J90)))</f>
      </c>
      <c r="G90" s="63" t="str">
        <f>IF($J90=0,"",IF(INDEX('Прайс и заказ'!K:K,$J90)="","",INDEX('Прайс и заказ'!K:K,$J90)))</f>
      </c>
      <c r="H90" s="62" t="str">
        <f>IF($J90=0,"",IF(INDEX('Прайс и заказ'!L:L,$J90)="","",INDEX('Прайс и заказ'!L:L,$J90)))</f>
      </c>
      <c r="I90" s="13" t="str">
        <f>IF($J90=0,"",IF(INDEX('Прайс и заказ'!M:M,$J90)="","",INDEX('Прайс и заказ'!M:M,$J90)))</f>
      </c>
      <c r="J90" t="str">
        <f>IFERROR(MATCH(82,'Прайс и заказ'!$N$7:$N$146,0)+6,0)</f>
      </c>
      <c r="L90" t="str">
        <f>IF($J90=0,"",IF(INDEX('Прайс и заказ'!Q:Q,$J90)="","",INDEX('Прайс и заказ'!Q:Q,$J90)))</f>
      </c>
    </row>
    <row r="91" spans="1:12" customHeight="1" ht="40">
      <c r="A91" s="13" t="str">
        <f>IF($J91=0,"",IFERROR(_xlfn.IMAGE(INDEX('Прайс и заказ'!$O:$O,$J91)),""))</f>
      </c>
      <c r="B91" s="61" t="str">
        <f>IF($J91=0,"",IF(INDEX('Прайс и заказ'!B:B,$J91)="","",INDEX('Прайс и заказ'!B:B,$J91)))</f>
      </c>
      <c r="C91" s="64" t="str">
        <f>IF($J91=0,"",IF(INDEX('Прайс и заказ'!C:C,$J91)="","",INDEX('Прайс и заказ'!C:C,$J91)))</f>
      </c>
      <c r="D91" s="64" t="str">
        <f>IF($J91=0,"",IF(INDEX('Прайс и заказ'!D:D,$J91)="","",INDEX('Прайс и заказ'!D:D,$J91)))</f>
      </c>
      <c r="E91" s="61" t="str">
        <f>IF($J91=0,"",IF(INDEX('Прайс и заказ'!F:F,$J91)="","",INDEX('Прайс и заказ'!F:F,$J91)))</f>
      </c>
      <c r="F91" s="62" t="str">
        <f>IF($J91=0,"",IF(INDEX('Прайс и заказ'!I:I,$J91)="","",INDEX('Прайс и заказ'!I:I,$J91)))</f>
      </c>
      <c r="G91" s="63" t="str">
        <f>IF($J91=0,"",IF(INDEX('Прайс и заказ'!K:K,$J91)="","",INDEX('Прайс и заказ'!K:K,$J91)))</f>
      </c>
      <c r="H91" s="62" t="str">
        <f>IF($J91=0,"",IF(INDEX('Прайс и заказ'!L:L,$J91)="","",INDEX('Прайс и заказ'!L:L,$J91)))</f>
      </c>
      <c r="I91" s="13" t="str">
        <f>IF($J91=0,"",IF(INDEX('Прайс и заказ'!M:M,$J91)="","",INDEX('Прайс и заказ'!M:M,$J91)))</f>
      </c>
      <c r="J91" t="str">
        <f>IFERROR(MATCH(83,'Прайс и заказ'!$N$7:$N$146,0)+6,0)</f>
      </c>
      <c r="L91" t="str">
        <f>IF($J91=0,"",IF(INDEX('Прайс и заказ'!Q:Q,$J91)="","",INDEX('Прайс и заказ'!Q:Q,$J91)))</f>
      </c>
    </row>
    <row r="92" spans="1:12" customHeight="1" ht="40">
      <c r="A92" s="13" t="str">
        <f>IF($J92=0,"",IFERROR(_xlfn.IMAGE(INDEX('Прайс и заказ'!$O:$O,$J92)),""))</f>
      </c>
      <c r="B92" s="61" t="str">
        <f>IF($J92=0,"",IF(INDEX('Прайс и заказ'!B:B,$J92)="","",INDEX('Прайс и заказ'!B:B,$J92)))</f>
      </c>
      <c r="C92" s="64" t="str">
        <f>IF($J92=0,"",IF(INDEX('Прайс и заказ'!C:C,$J92)="","",INDEX('Прайс и заказ'!C:C,$J92)))</f>
      </c>
      <c r="D92" s="64" t="str">
        <f>IF($J92=0,"",IF(INDEX('Прайс и заказ'!D:D,$J92)="","",INDEX('Прайс и заказ'!D:D,$J92)))</f>
      </c>
      <c r="E92" s="61" t="str">
        <f>IF($J92=0,"",IF(INDEX('Прайс и заказ'!F:F,$J92)="","",INDEX('Прайс и заказ'!F:F,$J92)))</f>
      </c>
      <c r="F92" s="62" t="str">
        <f>IF($J92=0,"",IF(INDEX('Прайс и заказ'!I:I,$J92)="","",INDEX('Прайс и заказ'!I:I,$J92)))</f>
      </c>
      <c r="G92" s="63" t="str">
        <f>IF($J92=0,"",IF(INDEX('Прайс и заказ'!K:K,$J92)="","",INDEX('Прайс и заказ'!K:K,$J92)))</f>
      </c>
      <c r="H92" s="62" t="str">
        <f>IF($J92=0,"",IF(INDEX('Прайс и заказ'!L:L,$J92)="","",INDEX('Прайс и заказ'!L:L,$J92)))</f>
      </c>
      <c r="I92" s="13" t="str">
        <f>IF($J92=0,"",IF(INDEX('Прайс и заказ'!M:M,$J92)="","",INDEX('Прайс и заказ'!M:M,$J92)))</f>
      </c>
      <c r="J92" t="str">
        <f>IFERROR(MATCH(84,'Прайс и заказ'!$N$7:$N$146,0)+6,0)</f>
      </c>
      <c r="L92" t="str">
        <f>IF($J92=0,"",IF(INDEX('Прайс и заказ'!Q:Q,$J92)="","",INDEX('Прайс и заказ'!Q:Q,$J92)))</f>
      </c>
    </row>
    <row r="93" spans="1:12" customHeight="1" ht="40">
      <c r="A93" s="13" t="str">
        <f>IF($J93=0,"",IFERROR(_xlfn.IMAGE(INDEX('Прайс и заказ'!$O:$O,$J93)),""))</f>
      </c>
      <c r="B93" s="61" t="str">
        <f>IF($J93=0,"",IF(INDEX('Прайс и заказ'!B:B,$J93)="","",INDEX('Прайс и заказ'!B:B,$J93)))</f>
      </c>
      <c r="C93" s="64" t="str">
        <f>IF($J93=0,"",IF(INDEX('Прайс и заказ'!C:C,$J93)="","",INDEX('Прайс и заказ'!C:C,$J93)))</f>
      </c>
      <c r="D93" s="64" t="str">
        <f>IF($J93=0,"",IF(INDEX('Прайс и заказ'!D:D,$J93)="","",INDEX('Прайс и заказ'!D:D,$J93)))</f>
      </c>
      <c r="E93" s="61" t="str">
        <f>IF($J93=0,"",IF(INDEX('Прайс и заказ'!F:F,$J93)="","",INDEX('Прайс и заказ'!F:F,$J93)))</f>
      </c>
      <c r="F93" s="62" t="str">
        <f>IF($J93=0,"",IF(INDEX('Прайс и заказ'!I:I,$J93)="","",INDEX('Прайс и заказ'!I:I,$J93)))</f>
      </c>
      <c r="G93" s="63" t="str">
        <f>IF($J93=0,"",IF(INDEX('Прайс и заказ'!K:K,$J93)="","",INDEX('Прайс и заказ'!K:K,$J93)))</f>
      </c>
      <c r="H93" s="62" t="str">
        <f>IF($J93=0,"",IF(INDEX('Прайс и заказ'!L:L,$J93)="","",INDEX('Прайс и заказ'!L:L,$J93)))</f>
      </c>
      <c r="I93" s="13" t="str">
        <f>IF($J93=0,"",IF(INDEX('Прайс и заказ'!M:M,$J93)="","",INDEX('Прайс и заказ'!M:M,$J93)))</f>
      </c>
      <c r="J93" t="str">
        <f>IFERROR(MATCH(85,'Прайс и заказ'!$N$7:$N$146,0)+6,0)</f>
      </c>
      <c r="L93" t="str">
        <f>IF($J93=0,"",IF(INDEX('Прайс и заказ'!Q:Q,$J93)="","",INDEX('Прайс и заказ'!Q:Q,$J93)))</f>
      </c>
    </row>
    <row r="94" spans="1:12" customHeight="1" ht="40">
      <c r="A94" s="13" t="str">
        <f>IF($J94=0,"",IFERROR(_xlfn.IMAGE(INDEX('Прайс и заказ'!$O:$O,$J94)),""))</f>
      </c>
      <c r="B94" s="61" t="str">
        <f>IF($J94=0,"",IF(INDEX('Прайс и заказ'!B:B,$J94)="","",INDEX('Прайс и заказ'!B:B,$J94)))</f>
      </c>
      <c r="C94" s="64" t="str">
        <f>IF($J94=0,"",IF(INDEX('Прайс и заказ'!C:C,$J94)="","",INDEX('Прайс и заказ'!C:C,$J94)))</f>
      </c>
      <c r="D94" s="64" t="str">
        <f>IF($J94=0,"",IF(INDEX('Прайс и заказ'!D:D,$J94)="","",INDEX('Прайс и заказ'!D:D,$J94)))</f>
      </c>
      <c r="E94" s="61" t="str">
        <f>IF($J94=0,"",IF(INDEX('Прайс и заказ'!F:F,$J94)="","",INDEX('Прайс и заказ'!F:F,$J94)))</f>
      </c>
      <c r="F94" s="62" t="str">
        <f>IF($J94=0,"",IF(INDEX('Прайс и заказ'!I:I,$J94)="","",INDEX('Прайс и заказ'!I:I,$J94)))</f>
      </c>
      <c r="G94" s="63" t="str">
        <f>IF($J94=0,"",IF(INDEX('Прайс и заказ'!K:K,$J94)="","",INDEX('Прайс и заказ'!K:K,$J94)))</f>
      </c>
      <c r="H94" s="62" t="str">
        <f>IF($J94=0,"",IF(INDEX('Прайс и заказ'!L:L,$J94)="","",INDEX('Прайс и заказ'!L:L,$J94)))</f>
      </c>
      <c r="I94" s="13" t="str">
        <f>IF($J94=0,"",IF(INDEX('Прайс и заказ'!M:M,$J94)="","",INDEX('Прайс и заказ'!M:M,$J94)))</f>
      </c>
      <c r="J94" t="str">
        <f>IFERROR(MATCH(86,'Прайс и заказ'!$N$7:$N$146,0)+6,0)</f>
      </c>
      <c r="L94" t="str">
        <f>IF($J94=0,"",IF(INDEX('Прайс и заказ'!Q:Q,$J94)="","",INDEX('Прайс и заказ'!Q:Q,$J94)))</f>
      </c>
    </row>
    <row r="95" spans="1:12" customHeight="1" ht="40">
      <c r="A95" s="13" t="str">
        <f>IF($J95=0,"",IFERROR(_xlfn.IMAGE(INDEX('Прайс и заказ'!$O:$O,$J95)),""))</f>
      </c>
      <c r="B95" s="61" t="str">
        <f>IF($J95=0,"",IF(INDEX('Прайс и заказ'!B:B,$J95)="","",INDEX('Прайс и заказ'!B:B,$J95)))</f>
      </c>
      <c r="C95" s="64" t="str">
        <f>IF($J95=0,"",IF(INDEX('Прайс и заказ'!C:C,$J95)="","",INDEX('Прайс и заказ'!C:C,$J95)))</f>
      </c>
      <c r="D95" s="64" t="str">
        <f>IF($J95=0,"",IF(INDEX('Прайс и заказ'!D:D,$J95)="","",INDEX('Прайс и заказ'!D:D,$J95)))</f>
      </c>
      <c r="E95" s="61" t="str">
        <f>IF($J95=0,"",IF(INDEX('Прайс и заказ'!F:F,$J95)="","",INDEX('Прайс и заказ'!F:F,$J95)))</f>
      </c>
      <c r="F95" s="62" t="str">
        <f>IF($J95=0,"",IF(INDEX('Прайс и заказ'!I:I,$J95)="","",INDEX('Прайс и заказ'!I:I,$J95)))</f>
      </c>
      <c r="G95" s="63" t="str">
        <f>IF($J95=0,"",IF(INDEX('Прайс и заказ'!K:K,$J95)="","",INDEX('Прайс и заказ'!K:K,$J95)))</f>
      </c>
      <c r="H95" s="62" t="str">
        <f>IF($J95=0,"",IF(INDEX('Прайс и заказ'!L:L,$J95)="","",INDEX('Прайс и заказ'!L:L,$J95)))</f>
      </c>
      <c r="I95" s="13" t="str">
        <f>IF($J95=0,"",IF(INDEX('Прайс и заказ'!M:M,$J95)="","",INDEX('Прайс и заказ'!M:M,$J95)))</f>
      </c>
      <c r="J95" t="str">
        <f>IFERROR(MATCH(87,'Прайс и заказ'!$N$7:$N$146,0)+6,0)</f>
      </c>
      <c r="L95" t="str">
        <f>IF($J95=0,"",IF(INDEX('Прайс и заказ'!Q:Q,$J95)="","",INDEX('Прайс и заказ'!Q:Q,$J95)))</f>
      </c>
    </row>
    <row r="96" spans="1:12" customHeight="1" ht="40">
      <c r="A96" s="13" t="str">
        <f>IF($J96=0,"",IFERROR(_xlfn.IMAGE(INDEX('Прайс и заказ'!$O:$O,$J96)),""))</f>
      </c>
      <c r="B96" s="61" t="str">
        <f>IF($J96=0,"",IF(INDEX('Прайс и заказ'!B:B,$J96)="","",INDEX('Прайс и заказ'!B:B,$J96)))</f>
      </c>
      <c r="C96" s="64" t="str">
        <f>IF($J96=0,"",IF(INDEX('Прайс и заказ'!C:C,$J96)="","",INDEX('Прайс и заказ'!C:C,$J96)))</f>
      </c>
      <c r="D96" s="64" t="str">
        <f>IF($J96=0,"",IF(INDEX('Прайс и заказ'!D:D,$J96)="","",INDEX('Прайс и заказ'!D:D,$J96)))</f>
      </c>
      <c r="E96" s="61" t="str">
        <f>IF($J96=0,"",IF(INDEX('Прайс и заказ'!F:F,$J96)="","",INDEX('Прайс и заказ'!F:F,$J96)))</f>
      </c>
      <c r="F96" s="62" t="str">
        <f>IF($J96=0,"",IF(INDEX('Прайс и заказ'!I:I,$J96)="","",INDEX('Прайс и заказ'!I:I,$J96)))</f>
      </c>
      <c r="G96" s="63" t="str">
        <f>IF($J96=0,"",IF(INDEX('Прайс и заказ'!K:K,$J96)="","",INDEX('Прайс и заказ'!K:K,$J96)))</f>
      </c>
      <c r="H96" s="62" t="str">
        <f>IF($J96=0,"",IF(INDEX('Прайс и заказ'!L:L,$J96)="","",INDEX('Прайс и заказ'!L:L,$J96)))</f>
      </c>
      <c r="I96" s="13" t="str">
        <f>IF($J96=0,"",IF(INDEX('Прайс и заказ'!M:M,$J96)="","",INDEX('Прайс и заказ'!M:M,$J96)))</f>
      </c>
      <c r="J96" t="str">
        <f>IFERROR(MATCH(88,'Прайс и заказ'!$N$7:$N$146,0)+6,0)</f>
      </c>
      <c r="L96" t="str">
        <f>IF($J96=0,"",IF(INDEX('Прайс и заказ'!Q:Q,$J96)="","",INDEX('Прайс и заказ'!Q:Q,$J96)))</f>
      </c>
    </row>
    <row r="97" spans="1:12" customHeight="1" ht="40">
      <c r="A97" s="13" t="str">
        <f>IF($J97=0,"",IFERROR(_xlfn.IMAGE(INDEX('Прайс и заказ'!$O:$O,$J97)),""))</f>
      </c>
      <c r="B97" s="61" t="str">
        <f>IF($J97=0,"",IF(INDEX('Прайс и заказ'!B:B,$J97)="","",INDEX('Прайс и заказ'!B:B,$J97)))</f>
      </c>
      <c r="C97" s="64" t="str">
        <f>IF($J97=0,"",IF(INDEX('Прайс и заказ'!C:C,$J97)="","",INDEX('Прайс и заказ'!C:C,$J97)))</f>
      </c>
      <c r="D97" s="64" t="str">
        <f>IF($J97=0,"",IF(INDEX('Прайс и заказ'!D:D,$J97)="","",INDEX('Прайс и заказ'!D:D,$J97)))</f>
      </c>
      <c r="E97" s="61" t="str">
        <f>IF($J97=0,"",IF(INDEX('Прайс и заказ'!F:F,$J97)="","",INDEX('Прайс и заказ'!F:F,$J97)))</f>
      </c>
      <c r="F97" s="62" t="str">
        <f>IF($J97=0,"",IF(INDEX('Прайс и заказ'!I:I,$J97)="","",INDEX('Прайс и заказ'!I:I,$J97)))</f>
      </c>
      <c r="G97" s="63" t="str">
        <f>IF($J97=0,"",IF(INDEX('Прайс и заказ'!K:K,$J97)="","",INDEX('Прайс и заказ'!K:K,$J97)))</f>
      </c>
      <c r="H97" s="62" t="str">
        <f>IF($J97=0,"",IF(INDEX('Прайс и заказ'!L:L,$J97)="","",INDEX('Прайс и заказ'!L:L,$J97)))</f>
      </c>
      <c r="I97" s="13" t="str">
        <f>IF($J97=0,"",IF(INDEX('Прайс и заказ'!M:M,$J97)="","",INDEX('Прайс и заказ'!M:M,$J97)))</f>
      </c>
      <c r="J97" t="str">
        <f>IFERROR(MATCH(89,'Прайс и заказ'!$N$7:$N$146,0)+6,0)</f>
      </c>
      <c r="L97" t="str">
        <f>IF($J97=0,"",IF(INDEX('Прайс и заказ'!Q:Q,$J97)="","",INDEX('Прайс и заказ'!Q:Q,$J97)))</f>
      </c>
    </row>
    <row r="98" spans="1:12" customHeight="1" ht="40">
      <c r="A98" s="13" t="str">
        <f>IF($J98=0,"",IFERROR(_xlfn.IMAGE(INDEX('Прайс и заказ'!$O:$O,$J98)),""))</f>
      </c>
      <c r="B98" s="61" t="str">
        <f>IF($J98=0,"",IF(INDEX('Прайс и заказ'!B:B,$J98)="","",INDEX('Прайс и заказ'!B:B,$J98)))</f>
      </c>
      <c r="C98" s="64" t="str">
        <f>IF($J98=0,"",IF(INDEX('Прайс и заказ'!C:C,$J98)="","",INDEX('Прайс и заказ'!C:C,$J98)))</f>
      </c>
      <c r="D98" s="64" t="str">
        <f>IF($J98=0,"",IF(INDEX('Прайс и заказ'!D:D,$J98)="","",INDEX('Прайс и заказ'!D:D,$J98)))</f>
      </c>
      <c r="E98" s="61" t="str">
        <f>IF($J98=0,"",IF(INDEX('Прайс и заказ'!F:F,$J98)="","",INDEX('Прайс и заказ'!F:F,$J98)))</f>
      </c>
      <c r="F98" s="62" t="str">
        <f>IF($J98=0,"",IF(INDEX('Прайс и заказ'!I:I,$J98)="","",INDEX('Прайс и заказ'!I:I,$J98)))</f>
      </c>
      <c r="G98" s="63" t="str">
        <f>IF($J98=0,"",IF(INDEX('Прайс и заказ'!K:K,$J98)="","",INDEX('Прайс и заказ'!K:K,$J98)))</f>
      </c>
      <c r="H98" s="62" t="str">
        <f>IF($J98=0,"",IF(INDEX('Прайс и заказ'!L:L,$J98)="","",INDEX('Прайс и заказ'!L:L,$J98)))</f>
      </c>
      <c r="I98" s="13" t="str">
        <f>IF($J98=0,"",IF(INDEX('Прайс и заказ'!M:M,$J98)="","",INDEX('Прайс и заказ'!M:M,$J98)))</f>
      </c>
      <c r="J98" t="str">
        <f>IFERROR(MATCH(90,'Прайс и заказ'!$N$7:$N$146,0)+6,0)</f>
      </c>
      <c r="L98" t="str">
        <f>IF($J98=0,"",IF(INDEX('Прайс и заказ'!Q:Q,$J98)="","",INDEX('Прайс и заказ'!Q:Q,$J98)))</f>
      </c>
    </row>
    <row r="99" spans="1:12" customHeight="1" ht="40">
      <c r="A99" s="13" t="str">
        <f>IF($J99=0,"",IFERROR(_xlfn.IMAGE(INDEX('Прайс и заказ'!$O:$O,$J99)),""))</f>
      </c>
      <c r="B99" s="61" t="str">
        <f>IF($J99=0,"",IF(INDEX('Прайс и заказ'!B:B,$J99)="","",INDEX('Прайс и заказ'!B:B,$J99)))</f>
      </c>
      <c r="C99" s="64" t="str">
        <f>IF($J99=0,"",IF(INDEX('Прайс и заказ'!C:C,$J99)="","",INDEX('Прайс и заказ'!C:C,$J99)))</f>
      </c>
      <c r="D99" s="64" t="str">
        <f>IF($J99=0,"",IF(INDEX('Прайс и заказ'!D:D,$J99)="","",INDEX('Прайс и заказ'!D:D,$J99)))</f>
      </c>
      <c r="E99" s="61" t="str">
        <f>IF($J99=0,"",IF(INDEX('Прайс и заказ'!F:F,$J99)="","",INDEX('Прайс и заказ'!F:F,$J99)))</f>
      </c>
      <c r="F99" s="62" t="str">
        <f>IF($J99=0,"",IF(INDEX('Прайс и заказ'!I:I,$J99)="","",INDEX('Прайс и заказ'!I:I,$J99)))</f>
      </c>
      <c r="G99" s="63" t="str">
        <f>IF($J99=0,"",IF(INDEX('Прайс и заказ'!K:K,$J99)="","",INDEX('Прайс и заказ'!K:K,$J99)))</f>
      </c>
      <c r="H99" s="62" t="str">
        <f>IF($J99=0,"",IF(INDEX('Прайс и заказ'!L:L,$J99)="","",INDEX('Прайс и заказ'!L:L,$J99)))</f>
      </c>
      <c r="I99" s="13" t="str">
        <f>IF($J99=0,"",IF(INDEX('Прайс и заказ'!M:M,$J99)="","",INDEX('Прайс и заказ'!M:M,$J99)))</f>
      </c>
      <c r="J99" t="str">
        <f>IFERROR(MATCH(91,'Прайс и заказ'!$N$7:$N$146,0)+6,0)</f>
      </c>
      <c r="L99" t="str">
        <f>IF($J99=0,"",IF(INDEX('Прайс и заказ'!Q:Q,$J99)="","",INDEX('Прайс и заказ'!Q:Q,$J99)))</f>
      </c>
    </row>
    <row r="100" spans="1:12" customHeight="1" ht="40">
      <c r="A100" s="13" t="str">
        <f>IF($J100=0,"",IFERROR(_xlfn.IMAGE(INDEX('Прайс и заказ'!$O:$O,$J100)),""))</f>
      </c>
      <c r="B100" s="61" t="str">
        <f>IF($J100=0,"",IF(INDEX('Прайс и заказ'!B:B,$J100)="","",INDEX('Прайс и заказ'!B:B,$J100)))</f>
      </c>
      <c r="C100" s="64" t="str">
        <f>IF($J100=0,"",IF(INDEX('Прайс и заказ'!C:C,$J100)="","",INDEX('Прайс и заказ'!C:C,$J100)))</f>
      </c>
      <c r="D100" s="64" t="str">
        <f>IF($J100=0,"",IF(INDEX('Прайс и заказ'!D:D,$J100)="","",INDEX('Прайс и заказ'!D:D,$J100)))</f>
      </c>
      <c r="E100" s="61" t="str">
        <f>IF($J100=0,"",IF(INDEX('Прайс и заказ'!F:F,$J100)="","",INDEX('Прайс и заказ'!F:F,$J100)))</f>
      </c>
      <c r="F100" s="62" t="str">
        <f>IF($J100=0,"",IF(INDEX('Прайс и заказ'!I:I,$J100)="","",INDEX('Прайс и заказ'!I:I,$J100)))</f>
      </c>
      <c r="G100" s="63" t="str">
        <f>IF($J100=0,"",IF(INDEX('Прайс и заказ'!K:K,$J100)="","",INDEX('Прайс и заказ'!K:K,$J100)))</f>
      </c>
      <c r="H100" s="62" t="str">
        <f>IF($J100=0,"",IF(INDEX('Прайс и заказ'!L:L,$J100)="","",INDEX('Прайс и заказ'!L:L,$J100)))</f>
      </c>
      <c r="I100" s="13" t="str">
        <f>IF($J100=0,"",IF(INDEX('Прайс и заказ'!M:M,$J100)="","",INDEX('Прайс и заказ'!M:M,$J100)))</f>
      </c>
      <c r="J100" t="str">
        <f>IFERROR(MATCH(92,'Прайс и заказ'!$N$7:$N$146,0)+6,0)</f>
      </c>
      <c r="L100" t="str">
        <f>IF($J100=0,"",IF(INDEX('Прайс и заказ'!Q:Q,$J100)="","",INDEX('Прайс и заказ'!Q:Q,$J100)))</f>
      </c>
    </row>
    <row r="101" spans="1:12" customHeight="1" ht="40">
      <c r="A101" s="13" t="str">
        <f>IF($J101=0,"",IFERROR(_xlfn.IMAGE(INDEX('Прайс и заказ'!$O:$O,$J101)),""))</f>
      </c>
      <c r="B101" s="61" t="str">
        <f>IF($J101=0,"",IF(INDEX('Прайс и заказ'!B:B,$J101)="","",INDEX('Прайс и заказ'!B:B,$J101)))</f>
      </c>
      <c r="C101" s="64" t="str">
        <f>IF($J101=0,"",IF(INDEX('Прайс и заказ'!C:C,$J101)="","",INDEX('Прайс и заказ'!C:C,$J101)))</f>
      </c>
      <c r="D101" s="64" t="str">
        <f>IF($J101=0,"",IF(INDEX('Прайс и заказ'!D:D,$J101)="","",INDEX('Прайс и заказ'!D:D,$J101)))</f>
      </c>
      <c r="E101" s="61" t="str">
        <f>IF($J101=0,"",IF(INDEX('Прайс и заказ'!F:F,$J101)="","",INDEX('Прайс и заказ'!F:F,$J101)))</f>
      </c>
      <c r="F101" s="62" t="str">
        <f>IF($J101=0,"",IF(INDEX('Прайс и заказ'!I:I,$J101)="","",INDEX('Прайс и заказ'!I:I,$J101)))</f>
      </c>
      <c r="G101" s="63" t="str">
        <f>IF($J101=0,"",IF(INDEX('Прайс и заказ'!K:K,$J101)="","",INDEX('Прайс и заказ'!K:K,$J101)))</f>
      </c>
      <c r="H101" s="62" t="str">
        <f>IF($J101=0,"",IF(INDEX('Прайс и заказ'!L:L,$J101)="","",INDEX('Прайс и заказ'!L:L,$J101)))</f>
      </c>
      <c r="I101" s="13" t="str">
        <f>IF($J101=0,"",IF(INDEX('Прайс и заказ'!M:M,$J101)="","",INDEX('Прайс и заказ'!M:M,$J101)))</f>
      </c>
      <c r="J101" t="str">
        <f>IFERROR(MATCH(93,'Прайс и заказ'!$N$7:$N$146,0)+6,0)</f>
      </c>
      <c r="L101" t="str">
        <f>IF($J101=0,"",IF(INDEX('Прайс и заказ'!Q:Q,$J101)="","",INDEX('Прайс и заказ'!Q:Q,$J101)))</f>
      </c>
    </row>
    <row r="102" spans="1:12" customHeight="1" ht="40">
      <c r="A102" s="13" t="str">
        <f>IF($J102=0,"",IFERROR(_xlfn.IMAGE(INDEX('Прайс и заказ'!$O:$O,$J102)),""))</f>
      </c>
      <c r="B102" s="61" t="str">
        <f>IF($J102=0,"",IF(INDEX('Прайс и заказ'!B:B,$J102)="","",INDEX('Прайс и заказ'!B:B,$J102)))</f>
      </c>
      <c r="C102" s="64" t="str">
        <f>IF($J102=0,"",IF(INDEX('Прайс и заказ'!C:C,$J102)="","",INDEX('Прайс и заказ'!C:C,$J102)))</f>
      </c>
      <c r="D102" s="64" t="str">
        <f>IF($J102=0,"",IF(INDEX('Прайс и заказ'!D:D,$J102)="","",INDEX('Прайс и заказ'!D:D,$J102)))</f>
      </c>
      <c r="E102" s="61" t="str">
        <f>IF($J102=0,"",IF(INDEX('Прайс и заказ'!F:F,$J102)="","",INDEX('Прайс и заказ'!F:F,$J102)))</f>
      </c>
      <c r="F102" s="62" t="str">
        <f>IF($J102=0,"",IF(INDEX('Прайс и заказ'!I:I,$J102)="","",INDEX('Прайс и заказ'!I:I,$J102)))</f>
      </c>
      <c r="G102" s="63" t="str">
        <f>IF($J102=0,"",IF(INDEX('Прайс и заказ'!K:K,$J102)="","",INDEX('Прайс и заказ'!K:K,$J102)))</f>
      </c>
      <c r="H102" s="62" t="str">
        <f>IF($J102=0,"",IF(INDEX('Прайс и заказ'!L:L,$J102)="","",INDEX('Прайс и заказ'!L:L,$J102)))</f>
      </c>
      <c r="I102" s="13" t="str">
        <f>IF($J102=0,"",IF(INDEX('Прайс и заказ'!M:M,$J102)="","",INDEX('Прайс и заказ'!M:M,$J102)))</f>
      </c>
      <c r="J102" t="str">
        <f>IFERROR(MATCH(94,'Прайс и заказ'!$N$7:$N$146,0)+6,0)</f>
      </c>
      <c r="L102" t="str">
        <f>IF($J102=0,"",IF(INDEX('Прайс и заказ'!Q:Q,$J102)="","",INDEX('Прайс и заказ'!Q:Q,$J102)))</f>
      </c>
    </row>
    <row r="103" spans="1:12" customHeight="1" ht="40">
      <c r="A103" s="13" t="str">
        <f>IF($J103=0,"",IFERROR(_xlfn.IMAGE(INDEX('Прайс и заказ'!$O:$O,$J103)),""))</f>
      </c>
      <c r="B103" s="61" t="str">
        <f>IF($J103=0,"",IF(INDEX('Прайс и заказ'!B:B,$J103)="","",INDEX('Прайс и заказ'!B:B,$J103)))</f>
      </c>
      <c r="C103" s="64" t="str">
        <f>IF($J103=0,"",IF(INDEX('Прайс и заказ'!C:C,$J103)="","",INDEX('Прайс и заказ'!C:C,$J103)))</f>
      </c>
      <c r="D103" s="64" t="str">
        <f>IF($J103=0,"",IF(INDEX('Прайс и заказ'!D:D,$J103)="","",INDEX('Прайс и заказ'!D:D,$J103)))</f>
      </c>
      <c r="E103" s="61" t="str">
        <f>IF($J103=0,"",IF(INDEX('Прайс и заказ'!F:F,$J103)="","",INDEX('Прайс и заказ'!F:F,$J103)))</f>
      </c>
      <c r="F103" s="62" t="str">
        <f>IF($J103=0,"",IF(INDEX('Прайс и заказ'!I:I,$J103)="","",INDEX('Прайс и заказ'!I:I,$J103)))</f>
      </c>
      <c r="G103" s="63" t="str">
        <f>IF($J103=0,"",IF(INDEX('Прайс и заказ'!K:K,$J103)="","",INDEX('Прайс и заказ'!K:K,$J103)))</f>
      </c>
      <c r="H103" s="62" t="str">
        <f>IF($J103=0,"",IF(INDEX('Прайс и заказ'!L:L,$J103)="","",INDEX('Прайс и заказ'!L:L,$J103)))</f>
      </c>
      <c r="I103" s="13" t="str">
        <f>IF($J103=0,"",IF(INDEX('Прайс и заказ'!M:M,$J103)="","",INDEX('Прайс и заказ'!M:M,$J103)))</f>
      </c>
      <c r="J103" t="str">
        <f>IFERROR(MATCH(95,'Прайс и заказ'!$N$7:$N$146,0)+6,0)</f>
      </c>
      <c r="L103" t="str">
        <f>IF($J103=0,"",IF(INDEX('Прайс и заказ'!Q:Q,$J103)="","",INDEX('Прайс и заказ'!Q:Q,$J103)))</f>
      </c>
    </row>
    <row r="104" spans="1:12" customHeight="1" ht="40">
      <c r="A104" s="13" t="str">
        <f>IF($J104=0,"",IFERROR(_xlfn.IMAGE(INDEX('Прайс и заказ'!$O:$O,$J104)),""))</f>
      </c>
      <c r="B104" s="61" t="str">
        <f>IF($J104=0,"",IF(INDEX('Прайс и заказ'!B:B,$J104)="","",INDEX('Прайс и заказ'!B:B,$J104)))</f>
      </c>
      <c r="C104" s="64" t="str">
        <f>IF($J104=0,"",IF(INDEX('Прайс и заказ'!C:C,$J104)="","",INDEX('Прайс и заказ'!C:C,$J104)))</f>
      </c>
      <c r="D104" s="64" t="str">
        <f>IF($J104=0,"",IF(INDEX('Прайс и заказ'!D:D,$J104)="","",INDEX('Прайс и заказ'!D:D,$J104)))</f>
      </c>
      <c r="E104" s="61" t="str">
        <f>IF($J104=0,"",IF(INDEX('Прайс и заказ'!F:F,$J104)="","",INDEX('Прайс и заказ'!F:F,$J104)))</f>
      </c>
      <c r="F104" s="62" t="str">
        <f>IF($J104=0,"",IF(INDEX('Прайс и заказ'!I:I,$J104)="","",INDEX('Прайс и заказ'!I:I,$J104)))</f>
      </c>
      <c r="G104" s="63" t="str">
        <f>IF($J104=0,"",IF(INDEX('Прайс и заказ'!K:K,$J104)="","",INDEX('Прайс и заказ'!K:K,$J104)))</f>
      </c>
      <c r="H104" s="62" t="str">
        <f>IF($J104=0,"",IF(INDEX('Прайс и заказ'!L:L,$J104)="","",INDEX('Прайс и заказ'!L:L,$J104)))</f>
      </c>
      <c r="I104" s="13" t="str">
        <f>IF($J104=0,"",IF(INDEX('Прайс и заказ'!M:M,$J104)="","",INDEX('Прайс и заказ'!M:M,$J104)))</f>
      </c>
      <c r="J104" t="str">
        <f>IFERROR(MATCH(96,'Прайс и заказ'!$N$7:$N$146,0)+6,0)</f>
      </c>
      <c r="L104" t="str">
        <f>IF($J104=0,"",IF(INDEX('Прайс и заказ'!Q:Q,$J104)="","",INDEX('Прайс и заказ'!Q:Q,$J104)))</f>
      </c>
    </row>
    <row r="105" spans="1:12" customHeight="1" ht="40">
      <c r="A105" s="13" t="str">
        <f>IF($J105=0,"",IFERROR(_xlfn.IMAGE(INDEX('Прайс и заказ'!$O:$O,$J105)),""))</f>
      </c>
      <c r="B105" s="61" t="str">
        <f>IF($J105=0,"",IF(INDEX('Прайс и заказ'!B:B,$J105)="","",INDEX('Прайс и заказ'!B:B,$J105)))</f>
      </c>
      <c r="C105" s="64" t="str">
        <f>IF($J105=0,"",IF(INDEX('Прайс и заказ'!C:C,$J105)="","",INDEX('Прайс и заказ'!C:C,$J105)))</f>
      </c>
      <c r="D105" s="64" t="str">
        <f>IF($J105=0,"",IF(INDEX('Прайс и заказ'!D:D,$J105)="","",INDEX('Прайс и заказ'!D:D,$J105)))</f>
      </c>
      <c r="E105" s="61" t="str">
        <f>IF($J105=0,"",IF(INDEX('Прайс и заказ'!F:F,$J105)="","",INDEX('Прайс и заказ'!F:F,$J105)))</f>
      </c>
      <c r="F105" s="62" t="str">
        <f>IF($J105=0,"",IF(INDEX('Прайс и заказ'!I:I,$J105)="","",INDEX('Прайс и заказ'!I:I,$J105)))</f>
      </c>
      <c r="G105" s="63" t="str">
        <f>IF($J105=0,"",IF(INDEX('Прайс и заказ'!K:K,$J105)="","",INDEX('Прайс и заказ'!K:K,$J105)))</f>
      </c>
      <c r="H105" s="62" t="str">
        <f>IF($J105=0,"",IF(INDEX('Прайс и заказ'!L:L,$J105)="","",INDEX('Прайс и заказ'!L:L,$J105)))</f>
      </c>
      <c r="I105" s="13" t="str">
        <f>IF($J105=0,"",IF(INDEX('Прайс и заказ'!M:M,$J105)="","",INDEX('Прайс и заказ'!M:M,$J105)))</f>
      </c>
      <c r="J105" t="str">
        <f>IFERROR(MATCH(97,'Прайс и заказ'!$N$7:$N$146,0)+6,0)</f>
      </c>
      <c r="L105" t="str">
        <f>IF($J105=0,"",IF(INDEX('Прайс и заказ'!Q:Q,$J105)="","",INDEX('Прайс и заказ'!Q:Q,$J105)))</f>
      </c>
    </row>
    <row r="106" spans="1:12" customHeight="1" ht="40">
      <c r="A106" s="13" t="str">
        <f>IF($J106=0,"",IFERROR(_xlfn.IMAGE(INDEX('Прайс и заказ'!$O:$O,$J106)),""))</f>
      </c>
      <c r="B106" s="61" t="str">
        <f>IF($J106=0,"",IF(INDEX('Прайс и заказ'!B:B,$J106)="","",INDEX('Прайс и заказ'!B:B,$J106)))</f>
      </c>
      <c r="C106" s="64" t="str">
        <f>IF($J106=0,"",IF(INDEX('Прайс и заказ'!C:C,$J106)="","",INDEX('Прайс и заказ'!C:C,$J106)))</f>
      </c>
      <c r="D106" s="64" t="str">
        <f>IF($J106=0,"",IF(INDEX('Прайс и заказ'!D:D,$J106)="","",INDEX('Прайс и заказ'!D:D,$J106)))</f>
      </c>
      <c r="E106" s="61" t="str">
        <f>IF($J106=0,"",IF(INDEX('Прайс и заказ'!F:F,$J106)="","",INDEX('Прайс и заказ'!F:F,$J106)))</f>
      </c>
      <c r="F106" s="62" t="str">
        <f>IF($J106=0,"",IF(INDEX('Прайс и заказ'!I:I,$J106)="","",INDEX('Прайс и заказ'!I:I,$J106)))</f>
      </c>
      <c r="G106" s="63" t="str">
        <f>IF($J106=0,"",IF(INDEX('Прайс и заказ'!K:K,$J106)="","",INDEX('Прайс и заказ'!K:K,$J106)))</f>
      </c>
      <c r="H106" s="62" t="str">
        <f>IF($J106=0,"",IF(INDEX('Прайс и заказ'!L:L,$J106)="","",INDEX('Прайс и заказ'!L:L,$J106)))</f>
      </c>
      <c r="I106" s="13" t="str">
        <f>IF($J106=0,"",IF(INDEX('Прайс и заказ'!M:M,$J106)="","",INDEX('Прайс и заказ'!M:M,$J106)))</f>
      </c>
      <c r="J106" t="str">
        <f>IFERROR(MATCH(98,'Прайс и заказ'!$N$7:$N$146,0)+6,0)</f>
      </c>
      <c r="L106" t="str">
        <f>IF($J106=0,"",IF(INDEX('Прайс и заказ'!Q:Q,$J106)="","",INDEX('Прайс и заказ'!Q:Q,$J106)))</f>
      </c>
    </row>
    <row r="107" spans="1:12" customHeight="1" ht="40">
      <c r="A107" s="13" t="str">
        <f>IF($J107=0,"",IFERROR(_xlfn.IMAGE(INDEX('Прайс и заказ'!$O:$O,$J107)),""))</f>
      </c>
      <c r="B107" s="61" t="str">
        <f>IF($J107=0,"",IF(INDEX('Прайс и заказ'!B:B,$J107)="","",INDEX('Прайс и заказ'!B:B,$J107)))</f>
      </c>
      <c r="C107" s="64" t="str">
        <f>IF($J107=0,"",IF(INDEX('Прайс и заказ'!C:C,$J107)="","",INDEX('Прайс и заказ'!C:C,$J107)))</f>
      </c>
      <c r="D107" s="64" t="str">
        <f>IF($J107=0,"",IF(INDEX('Прайс и заказ'!D:D,$J107)="","",INDEX('Прайс и заказ'!D:D,$J107)))</f>
      </c>
      <c r="E107" s="61" t="str">
        <f>IF($J107=0,"",IF(INDEX('Прайс и заказ'!F:F,$J107)="","",INDEX('Прайс и заказ'!F:F,$J107)))</f>
      </c>
      <c r="F107" s="62" t="str">
        <f>IF($J107=0,"",IF(INDEX('Прайс и заказ'!I:I,$J107)="","",INDEX('Прайс и заказ'!I:I,$J107)))</f>
      </c>
      <c r="G107" s="63" t="str">
        <f>IF($J107=0,"",IF(INDEX('Прайс и заказ'!K:K,$J107)="","",INDEX('Прайс и заказ'!K:K,$J107)))</f>
      </c>
      <c r="H107" s="62" t="str">
        <f>IF($J107=0,"",IF(INDEX('Прайс и заказ'!L:L,$J107)="","",INDEX('Прайс и заказ'!L:L,$J107)))</f>
      </c>
      <c r="I107" s="13" t="str">
        <f>IF($J107=0,"",IF(INDEX('Прайс и заказ'!M:M,$J107)="","",INDEX('Прайс и заказ'!M:M,$J107)))</f>
      </c>
      <c r="J107" t="str">
        <f>IFERROR(MATCH(99,'Прайс и заказ'!$N$7:$N$146,0)+6,0)</f>
      </c>
      <c r="L107" t="str">
        <f>IF($J107=0,"",IF(INDEX('Прайс и заказ'!Q:Q,$J107)="","",INDEX('Прайс и заказ'!Q:Q,$J107)))</f>
      </c>
    </row>
    <row r="108" spans="1:12" customHeight="1" ht="40">
      <c r="A108" s="13" t="str">
        <f>IF($J108=0,"",IFERROR(_xlfn.IMAGE(INDEX('Прайс и заказ'!$O:$O,$J108)),""))</f>
      </c>
      <c r="B108" s="61" t="str">
        <f>IF($J108=0,"",IF(INDEX('Прайс и заказ'!B:B,$J108)="","",INDEX('Прайс и заказ'!B:B,$J108)))</f>
      </c>
      <c r="C108" s="64" t="str">
        <f>IF($J108=0,"",IF(INDEX('Прайс и заказ'!C:C,$J108)="","",INDEX('Прайс и заказ'!C:C,$J108)))</f>
      </c>
      <c r="D108" s="64" t="str">
        <f>IF($J108=0,"",IF(INDEX('Прайс и заказ'!D:D,$J108)="","",INDEX('Прайс и заказ'!D:D,$J108)))</f>
      </c>
      <c r="E108" s="61" t="str">
        <f>IF($J108=0,"",IF(INDEX('Прайс и заказ'!F:F,$J108)="","",INDEX('Прайс и заказ'!F:F,$J108)))</f>
      </c>
      <c r="F108" s="62" t="str">
        <f>IF($J108=0,"",IF(INDEX('Прайс и заказ'!I:I,$J108)="","",INDEX('Прайс и заказ'!I:I,$J108)))</f>
      </c>
      <c r="G108" s="63" t="str">
        <f>IF($J108=0,"",IF(INDEX('Прайс и заказ'!K:K,$J108)="","",INDEX('Прайс и заказ'!K:K,$J108)))</f>
      </c>
      <c r="H108" s="62" t="str">
        <f>IF($J108=0,"",IF(INDEX('Прайс и заказ'!L:L,$J108)="","",INDEX('Прайс и заказ'!L:L,$J108)))</f>
      </c>
      <c r="I108" s="13" t="str">
        <f>IF($J108=0,"",IF(INDEX('Прайс и заказ'!M:M,$J108)="","",INDEX('Прайс и заказ'!M:M,$J108)))</f>
      </c>
      <c r="J108" t="str">
        <f>IFERROR(MATCH(100,'Прайс и заказ'!$N$7:$N$146,0)+6,0)</f>
      </c>
      <c r="L108" t="str">
        <f>IF($J108=0,"",IF(INDEX('Прайс и заказ'!Q:Q,$J108)="","",INDEX('Прайс и заказ'!Q:Q,$J108)))</f>
      </c>
    </row>
    <row r="109" spans="1:12" customHeight="1" ht="40">
      <c r="A109" s="13" t="str">
        <f>IF($J109=0,"",IFERROR(_xlfn.IMAGE(INDEX('Прайс и заказ'!$O:$O,$J109)),""))</f>
      </c>
      <c r="B109" s="61" t="str">
        <f>IF($J109=0,"",IF(INDEX('Прайс и заказ'!B:B,$J109)="","",INDEX('Прайс и заказ'!B:B,$J109)))</f>
      </c>
      <c r="C109" s="64" t="str">
        <f>IF($J109=0,"",IF(INDEX('Прайс и заказ'!C:C,$J109)="","",INDEX('Прайс и заказ'!C:C,$J109)))</f>
      </c>
      <c r="D109" s="64" t="str">
        <f>IF($J109=0,"",IF(INDEX('Прайс и заказ'!D:D,$J109)="","",INDEX('Прайс и заказ'!D:D,$J109)))</f>
      </c>
      <c r="E109" s="61" t="str">
        <f>IF($J109=0,"",IF(INDEX('Прайс и заказ'!F:F,$J109)="","",INDEX('Прайс и заказ'!F:F,$J109)))</f>
      </c>
      <c r="F109" s="62" t="str">
        <f>IF($J109=0,"",IF(INDEX('Прайс и заказ'!I:I,$J109)="","",INDEX('Прайс и заказ'!I:I,$J109)))</f>
      </c>
      <c r="G109" s="63" t="str">
        <f>IF($J109=0,"",IF(INDEX('Прайс и заказ'!K:K,$J109)="","",INDEX('Прайс и заказ'!K:K,$J109)))</f>
      </c>
      <c r="H109" s="62" t="str">
        <f>IF($J109=0,"",IF(INDEX('Прайс и заказ'!L:L,$J109)="","",INDEX('Прайс и заказ'!L:L,$J109)))</f>
      </c>
      <c r="I109" s="13" t="str">
        <f>IF($J109=0,"",IF(INDEX('Прайс и заказ'!M:M,$J109)="","",INDEX('Прайс и заказ'!M:M,$J109)))</f>
      </c>
      <c r="J109" t="str">
        <f>IFERROR(MATCH(101,'Прайс и заказ'!$N$7:$N$146,0)+6,0)</f>
      </c>
      <c r="L109" t="str">
        <f>IF($J109=0,"",IF(INDEX('Прайс и заказ'!Q:Q,$J109)="","",INDEX('Прайс и заказ'!Q:Q,$J109)))</f>
      </c>
    </row>
    <row r="110" spans="1:12" customHeight="1" ht="40">
      <c r="A110" s="13" t="str">
        <f>IF($J110=0,"",IFERROR(_xlfn.IMAGE(INDEX('Прайс и заказ'!$O:$O,$J110)),""))</f>
      </c>
      <c r="B110" s="61" t="str">
        <f>IF($J110=0,"",IF(INDEX('Прайс и заказ'!B:B,$J110)="","",INDEX('Прайс и заказ'!B:B,$J110)))</f>
      </c>
      <c r="C110" s="64" t="str">
        <f>IF($J110=0,"",IF(INDEX('Прайс и заказ'!C:C,$J110)="","",INDEX('Прайс и заказ'!C:C,$J110)))</f>
      </c>
      <c r="D110" s="64" t="str">
        <f>IF($J110=0,"",IF(INDEX('Прайс и заказ'!D:D,$J110)="","",INDEX('Прайс и заказ'!D:D,$J110)))</f>
      </c>
      <c r="E110" s="61" t="str">
        <f>IF($J110=0,"",IF(INDEX('Прайс и заказ'!F:F,$J110)="","",INDEX('Прайс и заказ'!F:F,$J110)))</f>
      </c>
      <c r="F110" s="62" t="str">
        <f>IF($J110=0,"",IF(INDEX('Прайс и заказ'!I:I,$J110)="","",INDEX('Прайс и заказ'!I:I,$J110)))</f>
      </c>
      <c r="G110" s="63" t="str">
        <f>IF($J110=0,"",IF(INDEX('Прайс и заказ'!K:K,$J110)="","",INDEX('Прайс и заказ'!K:K,$J110)))</f>
      </c>
      <c r="H110" s="62" t="str">
        <f>IF($J110=0,"",IF(INDEX('Прайс и заказ'!L:L,$J110)="","",INDEX('Прайс и заказ'!L:L,$J110)))</f>
      </c>
      <c r="I110" s="13" t="str">
        <f>IF($J110=0,"",IF(INDEX('Прайс и заказ'!M:M,$J110)="","",INDEX('Прайс и заказ'!M:M,$J110)))</f>
      </c>
      <c r="J110" t="str">
        <f>IFERROR(MATCH(102,'Прайс и заказ'!$N$7:$N$146,0)+6,0)</f>
      </c>
      <c r="L110" t="str">
        <f>IF($J110=0,"",IF(INDEX('Прайс и заказ'!Q:Q,$J110)="","",INDEX('Прайс и заказ'!Q:Q,$J110)))</f>
      </c>
    </row>
    <row r="111" spans="1:12" customHeight="1" ht="40">
      <c r="A111" s="13" t="str">
        <f>IF($J111=0,"",IFERROR(_xlfn.IMAGE(INDEX('Прайс и заказ'!$O:$O,$J111)),""))</f>
      </c>
      <c r="B111" s="61" t="str">
        <f>IF($J111=0,"",IF(INDEX('Прайс и заказ'!B:B,$J111)="","",INDEX('Прайс и заказ'!B:B,$J111)))</f>
      </c>
      <c r="C111" s="64" t="str">
        <f>IF($J111=0,"",IF(INDEX('Прайс и заказ'!C:C,$J111)="","",INDEX('Прайс и заказ'!C:C,$J111)))</f>
      </c>
      <c r="D111" s="64" t="str">
        <f>IF($J111=0,"",IF(INDEX('Прайс и заказ'!D:D,$J111)="","",INDEX('Прайс и заказ'!D:D,$J111)))</f>
      </c>
      <c r="E111" s="61" t="str">
        <f>IF($J111=0,"",IF(INDEX('Прайс и заказ'!F:F,$J111)="","",INDEX('Прайс и заказ'!F:F,$J111)))</f>
      </c>
      <c r="F111" s="62" t="str">
        <f>IF($J111=0,"",IF(INDEX('Прайс и заказ'!I:I,$J111)="","",INDEX('Прайс и заказ'!I:I,$J111)))</f>
      </c>
      <c r="G111" s="63" t="str">
        <f>IF($J111=0,"",IF(INDEX('Прайс и заказ'!K:K,$J111)="","",INDEX('Прайс и заказ'!K:K,$J111)))</f>
      </c>
      <c r="H111" s="62" t="str">
        <f>IF($J111=0,"",IF(INDEX('Прайс и заказ'!L:L,$J111)="","",INDEX('Прайс и заказ'!L:L,$J111)))</f>
      </c>
      <c r="I111" s="13" t="str">
        <f>IF($J111=0,"",IF(INDEX('Прайс и заказ'!M:M,$J111)="","",INDEX('Прайс и заказ'!M:M,$J111)))</f>
      </c>
      <c r="J111" t="str">
        <f>IFERROR(MATCH(103,'Прайс и заказ'!$N$7:$N$146,0)+6,0)</f>
      </c>
      <c r="L111" t="str">
        <f>IF($J111=0,"",IF(INDEX('Прайс и заказ'!Q:Q,$J111)="","",INDEX('Прайс и заказ'!Q:Q,$J111)))</f>
      </c>
    </row>
    <row r="112" spans="1:12" customHeight="1" ht="40">
      <c r="A112" s="13" t="str">
        <f>IF($J112=0,"",IFERROR(_xlfn.IMAGE(INDEX('Прайс и заказ'!$O:$O,$J112)),""))</f>
      </c>
      <c r="B112" s="61" t="str">
        <f>IF($J112=0,"",IF(INDEX('Прайс и заказ'!B:B,$J112)="","",INDEX('Прайс и заказ'!B:B,$J112)))</f>
      </c>
      <c r="C112" s="64" t="str">
        <f>IF($J112=0,"",IF(INDEX('Прайс и заказ'!C:C,$J112)="","",INDEX('Прайс и заказ'!C:C,$J112)))</f>
      </c>
      <c r="D112" s="64" t="str">
        <f>IF($J112=0,"",IF(INDEX('Прайс и заказ'!D:D,$J112)="","",INDEX('Прайс и заказ'!D:D,$J112)))</f>
      </c>
      <c r="E112" s="61" t="str">
        <f>IF($J112=0,"",IF(INDEX('Прайс и заказ'!F:F,$J112)="","",INDEX('Прайс и заказ'!F:F,$J112)))</f>
      </c>
      <c r="F112" s="62" t="str">
        <f>IF($J112=0,"",IF(INDEX('Прайс и заказ'!I:I,$J112)="","",INDEX('Прайс и заказ'!I:I,$J112)))</f>
      </c>
      <c r="G112" s="63" t="str">
        <f>IF($J112=0,"",IF(INDEX('Прайс и заказ'!K:K,$J112)="","",INDEX('Прайс и заказ'!K:K,$J112)))</f>
      </c>
      <c r="H112" s="62" t="str">
        <f>IF($J112=0,"",IF(INDEX('Прайс и заказ'!L:L,$J112)="","",INDEX('Прайс и заказ'!L:L,$J112)))</f>
      </c>
      <c r="I112" s="13" t="str">
        <f>IF($J112=0,"",IF(INDEX('Прайс и заказ'!M:M,$J112)="","",INDEX('Прайс и заказ'!M:M,$J112)))</f>
      </c>
      <c r="J112" t="str">
        <f>IFERROR(MATCH(104,'Прайс и заказ'!$N$7:$N$146,0)+6,0)</f>
      </c>
      <c r="L112" t="str">
        <f>IF($J112=0,"",IF(INDEX('Прайс и заказ'!Q:Q,$J112)="","",INDEX('Прайс и заказ'!Q:Q,$J112)))</f>
      </c>
    </row>
    <row r="113" spans="1:12" customHeight="1" ht="40">
      <c r="A113" s="13" t="str">
        <f>IF($J113=0,"",IFERROR(_xlfn.IMAGE(INDEX('Прайс и заказ'!$O:$O,$J113)),""))</f>
      </c>
      <c r="B113" s="61" t="str">
        <f>IF($J113=0,"",IF(INDEX('Прайс и заказ'!B:B,$J113)="","",INDEX('Прайс и заказ'!B:B,$J113)))</f>
      </c>
      <c r="C113" s="64" t="str">
        <f>IF($J113=0,"",IF(INDEX('Прайс и заказ'!C:C,$J113)="","",INDEX('Прайс и заказ'!C:C,$J113)))</f>
      </c>
      <c r="D113" s="64" t="str">
        <f>IF($J113=0,"",IF(INDEX('Прайс и заказ'!D:D,$J113)="","",INDEX('Прайс и заказ'!D:D,$J113)))</f>
      </c>
      <c r="E113" s="61" t="str">
        <f>IF($J113=0,"",IF(INDEX('Прайс и заказ'!F:F,$J113)="","",INDEX('Прайс и заказ'!F:F,$J113)))</f>
      </c>
      <c r="F113" s="62" t="str">
        <f>IF($J113=0,"",IF(INDEX('Прайс и заказ'!I:I,$J113)="","",INDEX('Прайс и заказ'!I:I,$J113)))</f>
      </c>
      <c r="G113" s="63" t="str">
        <f>IF($J113=0,"",IF(INDEX('Прайс и заказ'!K:K,$J113)="","",INDEX('Прайс и заказ'!K:K,$J113)))</f>
      </c>
      <c r="H113" s="62" t="str">
        <f>IF($J113=0,"",IF(INDEX('Прайс и заказ'!L:L,$J113)="","",INDEX('Прайс и заказ'!L:L,$J113)))</f>
      </c>
      <c r="I113" s="13" t="str">
        <f>IF($J113=0,"",IF(INDEX('Прайс и заказ'!M:M,$J113)="","",INDEX('Прайс и заказ'!M:M,$J113)))</f>
      </c>
      <c r="J113" t="str">
        <f>IFERROR(MATCH(105,'Прайс и заказ'!$N$7:$N$146,0)+6,0)</f>
      </c>
      <c r="L113" t="str">
        <f>IF($J113=0,"",IF(INDEX('Прайс и заказ'!Q:Q,$J113)="","",INDEX('Прайс и заказ'!Q:Q,$J113)))</f>
      </c>
    </row>
    <row r="114" spans="1:12" customHeight="1" ht="40">
      <c r="A114" s="13" t="str">
        <f>IF($J114=0,"",IFERROR(_xlfn.IMAGE(INDEX('Прайс и заказ'!$O:$O,$J114)),""))</f>
      </c>
      <c r="B114" s="61" t="str">
        <f>IF($J114=0,"",IF(INDEX('Прайс и заказ'!B:B,$J114)="","",INDEX('Прайс и заказ'!B:B,$J114)))</f>
      </c>
      <c r="C114" s="64" t="str">
        <f>IF($J114=0,"",IF(INDEX('Прайс и заказ'!C:C,$J114)="","",INDEX('Прайс и заказ'!C:C,$J114)))</f>
      </c>
      <c r="D114" s="64" t="str">
        <f>IF($J114=0,"",IF(INDEX('Прайс и заказ'!D:D,$J114)="","",INDEX('Прайс и заказ'!D:D,$J114)))</f>
      </c>
      <c r="E114" s="61" t="str">
        <f>IF($J114=0,"",IF(INDEX('Прайс и заказ'!F:F,$J114)="","",INDEX('Прайс и заказ'!F:F,$J114)))</f>
      </c>
      <c r="F114" s="62" t="str">
        <f>IF($J114=0,"",IF(INDEX('Прайс и заказ'!I:I,$J114)="","",INDEX('Прайс и заказ'!I:I,$J114)))</f>
      </c>
      <c r="G114" s="63" t="str">
        <f>IF($J114=0,"",IF(INDEX('Прайс и заказ'!K:K,$J114)="","",INDEX('Прайс и заказ'!K:K,$J114)))</f>
      </c>
      <c r="H114" s="62" t="str">
        <f>IF($J114=0,"",IF(INDEX('Прайс и заказ'!L:L,$J114)="","",INDEX('Прайс и заказ'!L:L,$J114)))</f>
      </c>
      <c r="I114" s="13" t="str">
        <f>IF($J114=0,"",IF(INDEX('Прайс и заказ'!M:M,$J114)="","",INDEX('Прайс и заказ'!M:M,$J114)))</f>
      </c>
      <c r="J114" t="str">
        <f>IFERROR(MATCH(106,'Прайс и заказ'!$N$7:$N$146,0)+6,0)</f>
      </c>
      <c r="L114" t="str">
        <f>IF($J114=0,"",IF(INDEX('Прайс и заказ'!Q:Q,$J114)="","",INDEX('Прайс и заказ'!Q:Q,$J114)))</f>
      </c>
    </row>
    <row r="115" spans="1:12" customHeight="1" ht="40">
      <c r="A115" s="13" t="str">
        <f>IF($J115=0,"",IFERROR(_xlfn.IMAGE(INDEX('Прайс и заказ'!$O:$O,$J115)),""))</f>
      </c>
      <c r="B115" s="61" t="str">
        <f>IF($J115=0,"",IF(INDEX('Прайс и заказ'!B:B,$J115)="","",INDEX('Прайс и заказ'!B:B,$J115)))</f>
      </c>
      <c r="C115" s="64" t="str">
        <f>IF($J115=0,"",IF(INDEX('Прайс и заказ'!C:C,$J115)="","",INDEX('Прайс и заказ'!C:C,$J115)))</f>
      </c>
      <c r="D115" s="64" t="str">
        <f>IF($J115=0,"",IF(INDEX('Прайс и заказ'!D:D,$J115)="","",INDEX('Прайс и заказ'!D:D,$J115)))</f>
      </c>
      <c r="E115" s="61" t="str">
        <f>IF($J115=0,"",IF(INDEX('Прайс и заказ'!F:F,$J115)="","",INDEX('Прайс и заказ'!F:F,$J115)))</f>
      </c>
      <c r="F115" s="62" t="str">
        <f>IF($J115=0,"",IF(INDEX('Прайс и заказ'!I:I,$J115)="","",INDEX('Прайс и заказ'!I:I,$J115)))</f>
      </c>
      <c r="G115" s="63" t="str">
        <f>IF($J115=0,"",IF(INDEX('Прайс и заказ'!K:K,$J115)="","",INDEX('Прайс и заказ'!K:K,$J115)))</f>
      </c>
      <c r="H115" s="62" t="str">
        <f>IF($J115=0,"",IF(INDEX('Прайс и заказ'!L:L,$J115)="","",INDEX('Прайс и заказ'!L:L,$J115)))</f>
      </c>
      <c r="I115" s="13" t="str">
        <f>IF($J115=0,"",IF(INDEX('Прайс и заказ'!M:M,$J115)="","",INDEX('Прайс и заказ'!M:M,$J115)))</f>
      </c>
      <c r="J115" t="str">
        <f>IFERROR(MATCH(107,'Прайс и заказ'!$N$7:$N$146,0)+6,0)</f>
      </c>
      <c r="L115" t="str">
        <f>IF($J115=0,"",IF(INDEX('Прайс и заказ'!Q:Q,$J115)="","",INDEX('Прайс и заказ'!Q:Q,$J115)))</f>
      </c>
    </row>
    <row r="116" spans="1:12" customHeight="1" ht="40">
      <c r="A116" s="13" t="str">
        <f>IF($J116=0,"",IFERROR(_xlfn.IMAGE(INDEX('Прайс и заказ'!$O:$O,$J116)),""))</f>
      </c>
      <c r="B116" s="61" t="str">
        <f>IF($J116=0,"",IF(INDEX('Прайс и заказ'!B:B,$J116)="","",INDEX('Прайс и заказ'!B:B,$J116)))</f>
      </c>
      <c r="C116" s="64" t="str">
        <f>IF($J116=0,"",IF(INDEX('Прайс и заказ'!C:C,$J116)="","",INDEX('Прайс и заказ'!C:C,$J116)))</f>
      </c>
      <c r="D116" s="64" t="str">
        <f>IF($J116=0,"",IF(INDEX('Прайс и заказ'!D:D,$J116)="","",INDEX('Прайс и заказ'!D:D,$J116)))</f>
      </c>
      <c r="E116" s="61" t="str">
        <f>IF($J116=0,"",IF(INDEX('Прайс и заказ'!F:F,$J116)="","",INDEX('Прайс и заказ'!F:F,$J116)))</f>
      </c>
      <c r="F116" s="62" t="str">
        <f>IF($J116=0,"",IF(INDEX('Прайс и заказ'!I:I,$J116)="","",INDEX('Прайс и заказ'!I:I,$J116)))</f>
      </c>
      <c r="G116" s="63" t="str">
        <f>IF($J116=0,"",IF(INDEX('Прайс и заказ'!K:K,$J116)="","",INDEX('Прайс и заказ'!K:K,$J116)))</f>
      </c>
      <c r="H116" s="62" t="str">
        <f>IF($J116=0,"",IF(INDEX('Прайс и заказ'!L:L,$J116)="","",INDEX('Прайс и заказ'!L:L,$J116)))</f>
      </c>
      <c r="I116" s="13" t="str">
        <f>IF($J116=0,"",IF(INDEX('Прайс и заказ'!M:M,$J116)="","",INDEX('Прайс и заказ'!M:M,$J116)))</f>
      </c>
      <c r="J116" t="str">
        <f>IFERROR(MATCH(108,'Прайс и заказ'!$N$7:$N$146,0)+6,0)</f>
      </c>
      <c r="L116" t="str">
        <f>IF($J116=0,"",IF(INDEX('Прайс и заказ'!Q:Q,$J116)="","",INDEX('Прайс и заказ'!Q:Q,$J116)))</f>
      </c>
    </row>
    <row r="117" spans="1:12" customHeight="1" ht="40">
      <c r="A117" s="13" t="str">
        <f>IF($J117=0,"",IFERROR(_xlfn.IMAGE(INDEX('Прайс и заказ'!$O:$O,$J117)),""))</f>
      </c>
      <c r="B117" s="61" t="str">
        <f>IF($J117=0,"",IF(INDEX('Прайс и заказ'!B:B,$J117)="","",INDEX('Прайс и заказ'!B:B,$J117)))</f>
      </c>
      <c r="C117" s="64" t="str">
        <f>IF($J117=0,"",IF(INDEX('Прайс и заказ'!C:C,$J117)="","",INDEX('Прайс и заказ'!C:C,$J117)))</f>
      </c>
      <c r="D117" s="64" t="str">
        <f>IF($J117=0,"",IF(INDEX('Прайс и заказ'!D:D,$J117)="","",INDEX('Прайс и заказ'!D:D,$J117)))</f>
      </c>
      <c r="E117" s="61" t="str">
        <f>IF($J117=0,"",IF(INDEX('Прайс и заказ'!F:F,$J117)="","",INDEX('Прайс и заказ'!F:F,$J117)))</f>
      </c>
      <c r="F117" s="62" t="str">
        <f>IF($J117=0,"",IF(INDEX('Прайс и заказ'!I:I,$J117)="","",INDEX('Прайс и заказ'!I:I,$J117)))</f>
      </c>
      <c r="G117" s="63" t="str">
        <f>IF($J117=0,"",IF(INDEX('Прайс и заказ'!K:K,$J117)="","",INDEX('Прайс и заказ'!K:K,$J117)))</f>
      </c>
      <c r="H117" s="62" t="str">
        <f>IF($J117=0,"",IF(INDEX('Прайс и заказ'!L:L,$J117)="","",INDEX('Прайс и заказ'!L:L,$J117)))</f>
      </c>
      <c r="I117" s="13" t="str">
        <f>IF($J117=0,"",IF(INDEX('Прайс и заказ'!M:M,$J117)="","",INDEX('Прайс и заказ'!M:M,$J117)))</f>
      </c>
      <c r="J117" t="str">
        <f>IFERROR(MATCH(109,'Прайс и заказ'!$N$7:$N$146,0)+6,0)</f>
      </c>
      <c r="L117" t="str">
        <f>IF($J117=0,"",IF(INDEX('Прайс и заказ'!Q:Q,$J117)="","",INDEX('Прайс и заказ'!Q:Q,$J117)))</f>
      </c>
    </row>
    <row r="118" spans="1:12" customHeight="1" ht="40">
      <c r="A118" s="13" t="str">
        <f>IF($J118=0,"",IFERROR(_xlfn.IMAGE(INDEX('Прайс и заказ'!$O:$O,$J118)),""))</f>
      </c>
      <c r="B118" s="61" t="str">
        <f>IF($J118=0,"",IF(INDEX('Прайс и заказ'!B:B,$J118)="","",INDEX('Прайс и заказ'!B:B,$J118)))</f>
      </c>
      <c r="C118" s="64" t="str">
        <f>IF($J118=0,"",IF(INDEX('Прайс и заказ'!C:C,$J118)="","",INDEX('Прайс и заказ'!C:C,$J118)))</f>
      </c>
      <c r="D118" s="64" t="str">
        <f>IF($J118=0,"",IF(INDEX('Прайс и заказ'!D:D,$J118)="","",INDEX('Прайс и заказ'!D:D,$J118)))</f>
      </c>
      <c r="E118" s="61" t="str">
        <f>IF($J118=0,"",IF(INDEX('Прайс и заказ'!F:F,$J118)="","",INDEX('Прайс и заказ'!F:F,$J118)))</f>
      </c>
      <c r="F118" s="62" t="str">
        <f>IF($J118=0,"",IF(INDEX('Прайс и заказ'!I:I,$J118)="","",INDEX('Прайс и заказ'!I:I,$J118)))</f>
      </c>
      <c r="G118" s="63" t="str">
        <f>IF($J118=0,"",IF(INDEX('Прайс и заказ'!K:K,$J118)="","",INDEX('Прайс и заказ'!K:K,$J118)))</f>
      </c>
      <c r="H118" s="62" t="str">
        <f>IF($J118=0,"",IF(INDEX('Прайс и заказ'!L:L,$J118)="","",INDEX('Прайс и заказ'!L:L,$J118)))</f>
      </c>
      <c r="I118" s="13" t="str">
        <f>IF($J118=0,"",IF(INDEX('Прайс и заказ'!M:M,$J118)="","",INDEX('Прайс и заказ'!M:M,$J118)))</f>
      </c>
      <c r="J118" t="str">
        <f>IFERROR(MATCH(110,'Прайс и заказ'!$N$7:$N$146,0)+6,0)</f>
      </c>
      <c r="L118" t="str">
        <f>IF($J118=0,"",IF(INDEX('Прайс и заказ'!Q:Q,$J118)="","",INDEX('Прайс и заказ'!Q:Q,$J118)))</f>
      </c>
    </row>
    <row r="119" spans="1:12" customHeight="1" ht="40">
      <c r="A119" s="13" t="str">
        <f>IF($J119=0,"",IFERROR(_xlfn.IMAGE(INDEX('Прайс и заказ'!$O:$O,$J119)),""))</f>
      </c>
      <c r="B119" s="61" t="str">
        <f>IF($J119=0,"",IF(INDEX('Прайс и заказ'!B:B,$J119)="","",INDEX('Прайс и заказ'!B:B,$J119)))</f>
      </c>
      <c r="C119" s="64" t="str">
        <f>IF($J119=0,"",IF(INDEX('Прайс и заказ'!C:C,$J119)="","",INDEX('Прайс и заказ'!C:C,$J119)))</f>
      </c>
      <c r="D119" s="64" t="str">
        <f>IF($J119=0,"",IF(INDEX('Прайс и заказ'!D:D,$J119)="","",INDEX('Прайс и заказ'!D:D,$J119)))</f>
      </c>
      <c r="E119" s="61" t="str">
        <f>IF($J119=0,"",IF(INDEX('Прайс и заказ'!F:F,$J119)="","",INDEX('Прайс и заказ'!F:F,$J119)))</f>
      </c>
      <c r="F119" s="62" t="str">
        <f>IF($J119=0,"",IF(INDEX('Прайс и заказ'!I:I,$J119)="","",INDEX('Прайс и заказ'!I:I,$J119)))</f>
      </c>
      <c r="G119" s="63" t="str">
        <f>IF($J119=0,"",IF(INDEX('Прайс и заказ'!K:K,$J119)="","",INDEX('Прайс и заказ'!K:K,$J119)))</f>
      </c>
      <c r="H119" s="62" t="str">
        <f>IF($J119=0,"",IF(INDEX('Прайс и заказ'!L:L,$J119)="","",INDEX('Прайс и заказ'!L:L,$J119)))</f>
      </c>
      <c r="I119" s="13" t="str">
        <f>IF($J119=0,"",IF(INDEX('Прайс и заказ'!M:M,$J119)="","",INDEX('Прайс и заказ'!M:M,$J119)))</f>
      </c>
      <c r="J119" t="str">
        <f>IFERROR(MATCH(111,'Прайс и заказ'!$N$7:$N$146,0)+6,0)</f>
      </c>
      <c r="L119" t="str">
        <f>IF($J119=0,"",IF(INDEX('Прайс и заказ'!Q:Q,$J119)="","",INDEX('Прайс и заказ'!Q:Q,$J119)))</f>
      </c>
    </row>
    <row r="120" spans="1:12" customHeight="1" ht="40">
      <c r="A120" s="13" t="str">
        <f>IF($J120=0,"",IFERROR(_xlfn.IMAGE(INDEX('Прайс и заказ'!$O:$O,$J120)),""))</f>
      </c>
      <c r="B120" s="61" t="str">
        <f>IF($J120=0,"",IF(INDEX('Прайс и заказ'!B:B,$J120)="","",INDEX('Прайс и заказ'!B:B,$J120)))</f>
      </c>
      <c r="C120" s="64" t="str">
        <f>IF($J120=0,"",IF(INDEX('Прайс и заказ'!C:C,$J120)="","",INDEX('Прайс и заказ'!C:C,$J120)))</f>
      </c>
      <c r="D120" s="64" t="str">
        <f>IF($J120=0,"",IF(INDEX('Прайс и заказ'!D:D,$J120)="","",INDEX('Прайс и заказ'!D:D,$J120)))</f>
      </c>
      <c r="E120" s="61" t="str">
        <f>IF($J120=0,"",IF(INDEX('Прайс и заказ'!F:F,$J120)="","",INDEX('Прайс и заказ'!F:F,$J120)))</f>
      </c>
      <c r="F120" s="62" t="str">
        <f>IF($J120=0,"",IF(INDEX('Прайс и заказ'!I:I,$J120)="","",INDEX('Прайс и заказ'!I:I,$J120)))</f>
      </c>
      <c r="G120" s="63" t="str">
        <f>IF($J120=0,"",IF(INDEX('Прайс и заказ'!K:K,$J120)="","",INDEX('Прайс и заказ'!K:K,$J120)))</f>
      </c>
      <c r="H120" s="62" t="str">
        <f>IF($J120=0,"",IF(INDEX('Прайс и заказ'!L:L,$J120)="","",INDEX('Прайс и заказ'!L:L,$J120)))</f>
      </c>
      <c r="I120" s="13" t="str">
        <f>IF($J120=0,"",IF(INDEX('Прайс и заказ'!M:M,$J120)="","",INDEX('Прайс и заказ'!M:M,$J120)))</f>
      </c>
      <c r="J120" t="str">
        <f>IFERROR(MATCH(112,'Прайс и заказ'!$N$7:$N$146,0)+6,0)</f>
      </c>
      <c r="L120" t="str">
        <f>IF($J120=0,"",IF(INDEX('Прайс и заказ'!Q:Q,$J120)="","",INDEX('Прайс и заказ'!Q:Q,$J120)))</f>
      </c>
    </row>
    <row r="121" spans="1:12" customHeight="1" ht="40">
      <c r="A121" s="13" t="str">
        <f>IF($J121=0,"",IFERROR(_xlfn.IMAGE(INDEX('Прайс и заказ'!$O:$O,$J121)),""))</f>
      </c>
      <c r="B121" s="61" t="str">
        <f>IF($J121=0,"",IF(INDEX('Прайс и заказ'!B:B,$J121)="","",INDEX('Прайс и заказ'!B:B,$J121)))</f>
      </c>
      <c r="C121" s="64" t="str">
        <f>IF($J121=0,"",IF(INDEX('Прайс и заказ'!C:C,$J121)="","",INDEX('Прайс и заказ'!C:C,$J121)))</f>
      </c>
      <c r="D121" s="64" t="str">
        <f>IF($J121=0,"",IF(INDEX('Прайс и заказ'!D:D,$J121)="","",INDEX('Прайс и заказ'!D:D,$J121)))</f>
      </c>
      <c r="E121" s="61" t="str">
        <f>IF($J121=0,"",IF(INDEX('Прайс и заказ'!F:F,$J121)="","",INDEX('Прайс и заказ'!F:F,$J121)))</f>
      </c>
      <c r="F121" s="62" t="str">
        <f>IF($J121=0,"",IF(INDEX('Прайс и заказ'!I:I,$J121)="","",INDEX('Прайс и заказ'!I:I,$J121)))</f>
      </c>
      <c r="G121" s="63" t="str">
        <f>IF($J121=0,"",IF(INDEX('Прайс и заказ'!K:K,$J121)="","",INDEX('Прайс и заказ'!K:K,$J121)))</f>
      </c>
      <c r="H121" s="62" t="str">
        <f>IF($J121=0,"",IF(INDEX('Прайс и заказ'!L:L,$J121)="","",INDEX('Прайс и заказ'!L:L,$J121)))</f>
      </c>
      <c r="I121" s="13" t="str">
        <f>IF($J121=0,"",IF(INDEX('Прайс и заказ'!M:M,$J121)="","",INDEX('Прайс и заказ'!M:M,$J121)))</f>
      </c>
      <c r="J121" t="str">
        <f>IFERROR(MATCH(113,'Прайс и заказ'!$N$7:$N$146,0)+6,0)</f>
      </c>
      <c r="L121" t="str">
        <f>IF($J121=0,"",IF(INDEX('Прайс и заказ'!Q:Q,$J121)="","",INDEX('Прайс и заказ'!Q:Q,$J121)))</f>
      </c>
    </row>
    <row r="122" spans="1:12" customHeight="1" ht="40">
      <c r="A122" s="13" t="str">
        <f>IF($J122=0,"",IFERROR(_xlfn.IMAGE(INDEX('Прайс и заказ'!$O:$O,$J122)),""))</f>
      </c>
      <c r="B122" s="61" t="str">
        <f>IF($J122=0,"",IF(INDEX('Прайс и заказ'!B:B,$J122)="","",INDEX('Прайс и заказ'!B:B,$J122)))</f>
      </c>
      <c r="C122" s="64" t="str">
        <f>IF($J122=0,"",IF(INDEX('Прайс и заказ'!C:C,$J122)="","",INDEX('Прайс и заказ'!C:C,$J122)))</f>
      </c>
      <c r="D122" s="64" t="str">
        <f>IF($J122=0,"",IF(INDEX('Прайс и заказ'!D:D,$J122)="","",INDEX('Прайс и заказ'!D:D,$J122)))</f>
      </c>
      <c r="E122" s="61" t="str">
        <f>IF($J122=0,"",IF(INDEX('Прайс и заказ'!F:F,$J122)="","",INDEX('Прайс и заказ'!F:F,$J122)))</f>
      </c>
      <c r="F122" s="62" t="str">
        <f>IF($J122=0,"",IF(INDEX('Прайс и заказ'!I:I,$J122)="","",INDEX('Прайс и заказ'!I:I,$J122)))</f>
      </c>
      <c r="G122" s="63" t="str">
        <f>IF($J122=0,"",IF(INDEX('Прайс и заказ'!K:K,$J122)="","",INDEX('Прайс и заказ'!K:K,$J122)))</f>
      </c>
      <c r="H122" s="62" t="str">
        <f>IF($J122=0,"",IF(INDEX('Прайс и заказ'!L:L,$J122)="","",INDEX('Прайс и заказ'!L:L,$J122)))</f>
      </c>
      <c r="I122" s="13" t="str">
        <f>IF($J122=0,"",IF(INDEX('Прайс и заказ'!M:M,$J122)="","",INDEX('Прайс и заказ'!M:M,$J122)))</f>
      </c>
      <c r="J122" t="str">
        <f>IFERROR(MATCH(114,'Прайс и заказ'!$N$7:$N$146,0)+6,0)</f>
      </c>
      <c r="L122" t="str">
        <f>IF($J122=0,"",IF(INDEX('Прайс и заказ'!Q:Q,$J122)="","",INDEX('Прайс и заказ'!Q:Q,$J122)))</f>
      </c>
    </row>
    <row r="123" spans="1:12" customHeight="1" ht="40">
      <c r="A123" s="13" t="str">
        <f>IF($J123=0,"",IFERROR(_xlfn.IMAGE(INDEX('Прайс и заказ'!$O:$O,$J123)),""))</f>
      </c>
      <c r="B123" s="61" t="str">
        <f>IF($J123=0,"",IF(INDEX('Прайс и заказ'!B:B,$J123)="","",INDEX('Прайс и заказ'!B:B,$J123)))</f>
      </c>
      <c r="C123" s="64" t="str">
        <f>IF($J123=0,"",IF(INDEX('Прайс и заказ'!C:C,$J123)="","",INDEX('Прайс и заказ'!C:C,$J123)))</f>
      </c>
      <c r="D123" s="64" t="str">
        <f>IF($J123=0,"",IF(INDEX('Прайс и заказ'!D:D,$J123)="","",INDEX('Прайс и заказ'!D:D,$J123)))</f>
      </c>
      <c r="E123" s="61" t="str">
        <f>IF($J123=0,"",IF(INDEX('Прайс и заказ'!F:F,$J123)="","",INDEX('Прайс и заказ'!F:F,$J123)))</f>
      </c>
      <c r="F123" s="62" t="str">
        <f>IF($J123=0,"",IF(INDEX('Прайс и заказ'!I:I,$J123)="","",INDEX('Прайс и заказ'!I:I,$J123)))</f>
      </c>
      <c r="G123" s="63" t="str">
        <f>IF($J123=0,"",IF(INDEX('Прайс и заказ'!K:K,$J123)="","",INDEX('Прайс и заказ'!K:K,$J123)))</f>
      </c>
      <c r="H123" s="62" t="str">
        <f>IF($J123=0,"",IF(INDEX('Прайс и заказ'!L:L,$J123)="","",INDEX('Прайс и заказ'!L:L,$J123)))</f>
      </c>
      <c r="I123" s="13" t="str">
        <f>IF($J123=0,"",IF(INDEX('Прайс и заказ'!M:M,$J123)="","",INDEX('Прайс и заказ'!M:M,$J123)))</f>
      </c>
      <c r="J123" t="str">
        <f>IFERROR(MATCH(115,'Прайс и заказ'!$N$7:$N$146,0)+6,0)</f>
      </c>
      <c r="L123" t="str">
        <f>IF($J123=0,"",IF(INDEX('Прайс и заказ'!Q:Q,$J123)="","",INDEX('Прайс и заказ'!Q:Q,$J123)))</f>
      </c>
    </row>
    <row r="124" spans="1:12" customHeight="1" ht="40">
      <c r="A124" s="13" t="str">
        <f>IF($J124=0,"",IFERROR(_xlfn.IMAGE(INDEX('Прайс и заказ'!$O:$O,$J124)),""))</f>
      </c>
      <c r="B124" s="61" t="str">
        <f>IF($J124=0,"",IF(INDEX('Прайс и заказ'!B:B,$J124)="","",INDEX('Прайс и заказ'!B:B,$J124)))</f>
      </c>
      <c r="C124" s="64" t="str">
        <f>IF($J124=0,"",IF(INDEX('Прайс и заказ'!C:C,$J124)="","",INDEX('Прайс и заказ'!C:C,$J124)))</f>
      </c>
      <c r="D124" s="64" t="str">
        <f>IF($J124=0,"",IF(INDEX('Прайс и заказ'!D:D,$J124)="","",INDEX('Прайс и заказ'!D:D,$J124)))</f>
      </c>
      <c r="E124" s="61" t="str">
        <f>IF($J124=0,"",IF(INDEX('Прайс и заказ'!F:F,$J124)="","",INDEX('Прайс и заказ'!F:F,$J124)))</f>
      </c>
      <c r="F124" s="62" t="str">
        <f>IF($J124=0,"",IF(INDEX('Прайс и заказ'!I:I,$J124)="","",INDEX('Прайс и заказ'!I:I,$J124)))</f>
      </c>
      <c r="G124" s="63" t="str">
        <f>IF($J124=0,"",IF(INDEX('Прайс и заказ'!K:K,$J124)="","",INDEX('Прайс и заказ'!K:K,$J124)))</f>
      </c>
      <c r="H124" s="62" t="str">
        <f>IF($J124=0,"",IF(INDEX('Прайс и заказ'!L:L,$J124)="","",INDEX('Прайс и заказ'!L:L,$J124)))</f>
      </c>
      <c r="I124" s="13" t="str">
        <f>IF($J124=0,"",IF(INDEX('Прайс и заказ'!M:M,$J124)="","",INDEX('Прайс и заказ'!M:M,$J124)))</f>
      </c>
      <c r="J124" t="str">
        <f>IFERROR(MATCH(116,'Прайс и заказ'!$N$7:$N$146,0)+6,0)</f>
      </c>
      <c r="L124" t="str">
        <f>IF($J124=0,"",IF(INDEX('Прайс и заказ'!Q:Q,$J124)="","",INDEX('Прайс и заказ'!Q:Q,$J124)))</f>
      </c>
    </row>
    <row r="125" spans="1:12" customHeight="1" ht="40">
      <c r="A125" s="13" t="str">
        <f>IF($J125=0,"",IFERROR(_xlfn.IMAGE(INDEX('Прайс и заказ'!$O:$O,$J125)),""))</f>
      </c>
      <c r="B125" s="61" t="str">
        <f>IF($J125=0,"",IF(INDEX('Прайс и заказ'!B:B,$J125)="","",INDEX('Прайс и заказ'!B:B,$J125)))</f>
      </c>
      <c r="C125" s="64" t="str">
        <f>IF($J125=0,"",IF(INDEX('Прайс и заказ'!C:C,$J125)="","",INDEX('Прайс и заказ'!C:C,$J125)))</f>
      </c>
      <c r="D125" s="64" t="str">
        <f>IF($J125=0,"",IF(INDEX('Прайс и заказ'!D:D,$J125)="","",INDEX('Прайс и заказ'!D:D,$J125)))</f>
      </c>
      <c r="E125" s="61" t="str">
        <f>IF($J125=0,"",IF(INDEX('Прайс и заказ'!F:F,$J125)="","",INDEX('Прайс и заказ'!F:F,$J125)))</f>
      </c>
      <c r="F125" s="62" t="str">
        <f>IF($J125=0,"",IF(INDEX('Прайс и заказ'!I:I,$J125)="","",INDEX('Прайс и заказ'!I:I,$J125)))</f>
      </c>
      <c r="G125" s="63" t="str">
        <f>IF($J125=0,"",IF(INDEX('Прайс и заказ'!K:K,$J125)="","",INDEX('Прайс и заказ'!K:K,$J125)))</f>
      </c>
      <c r="H125" s="62" t="str">
        <f>IF($J125=0,"",IF(INDEX('Прайс и заказ'!L:L,$J125)="","",INDEX('Прайс и заказ'!L:L,$J125)))</f>
      </c>
      <c r="I125" s="13" t="str">
        <f>IF($J125=0,"",IF(INDEX('Прайс и заказ'!M:M,$J125)="","",INDEX('Прайс и заказ'!M:M,$J125)))</f>
      </c>
      <c r="J125" t="str">
        <f>IFERROR(MATCH(117,'Прайс и заказ'!$N$7:$N$146,0)+6,0)</f>
      </c>
      <c r="L125" t="str">
        <f>IF($J125=0,"",IF(INDEX('Прайс и заказ'!Q:Q,$J125)="","",INDEX('Прайс и заказ'!Q:Q,$J125)))</f>
      </c>
    </row>
    <row r="126" spans="1:12" customHeight="1" ht="40">
      <c r="A126" s="13" t="str">
        <f>IF($J126=0,"",IFERROR(_xlfn.IMAGE(INDEX('Прайс и заказ'!$O:$O,$J126)),""))</f>
      </c>
      <c r="B126" s="61" t="str">
        <f>IF($J126=0,"",IF(INDEX('Прайс и заказ'!B:B,$J126)="","",INDEX('Прайс и заказ'!B:B,$J126)))</f>
      </c>
      <c r="C126" s="64" t="str">
        <f>IF($J126=0,"",IF(INDEX('Прайс и заказ'!C:C,$J126)="","",INDEX('Прайс и заказ'!C:C,$J126)))</f>
      </c>
      <c r="D126" s="64" t="str">
        <f>IF($J126=0,"",IF(INDEX('Прайс и заказ'!D:D,$J126)="","",INDEX('Прайс и заказ'!D:D,$J126)))</f>
      </c>
      <c r="E126" s="61" t="str">
        <f>IF($J126=0,"",IF(INDEX('Прайс и заказ'!F:F,$J126)="","",INDEX('Прайс и заказ'!F:F,$J126)))</f>
      </c>
      <c r="F126" s="62" t="str">
        <f>IF($J126=0,"",IF(INDEX('Прайс и заказ'!I:I,$J126)="","",INDEX('Прайс и заказ'!I:I,$J126)))</f>
      </c>
      <c r="G126" s="63" t="str">
        <f>IF($J126=0,"",IF(INDEX('Прайс и заказ'!K:K,$J126)="","",INDEX('Прайс и заказ'!K:K,$J126)))</f>
      </c>
      <c r="H126" s="62" t="str">
        <f>IF($J126=0,"",IF(INDEX('Прайс и заказ'!L:L,$J126)="","",INDEX('Прайс и заказ'!L:L,$J126)))</f>
      </c>
      <c r="I126" s="13" t="str">
        <f>IF($J126=0,"",IF(INDEX('Прайс и заказ'!M:M,$J126)="","",INDEX('Прайс и заказ'!M:M,$J126)))</f>
      </c>
      <c r="J126" t="str">
        <f>IFERROR(MATCH(118,'Прайс и заказ'!$N$7:$N$146,0)+6,0)</f>
      </c>
      <c r="L126" t="str">
        <f>IF($J126=0,"",IF(INDEX('Прайс и заказ'!Q:Q,$J126)="","",INDEX('Прайс и заказ'!Q:Q,$J126)))</f>
      </c>
    </row>
    <row r="127" spans="1:12" customHeight="1" ht="40">
      <c r="A127" s="13" t="str">
        <f>IF($J127=0,"",IFERROR(_xlfn.IMAGE(INDEX('Прайс и заказ'!$O:$O,$J127)),""))</f>
      </c>
      <c r="B127" s="61" t="str">
        <f>IF($J127=0,"",IF(INDEX('Прайс и заказ'!B:B,$J127)="","",INDEX('Прайс и заказ'!B:B,$J127)))</f>
      </c>
      <c r="C127" s="64" t="str">
        <f>IF($J127=0,"",IF(INDEX('Прайс и заказ'!C:C,$J127)="","",INDEX('Прайс и заказ'!C:C,$J127)))</f>
      </c>
      <c r="D127" s="64" t="str">
        <f>IF($J127=0,"",IF(INDEX('Прайс и заказ'!D:D,$J127)="","",INDEX('Прайс и заказ'!D:D,$J127)))</f>
      </c>
      <c r="E127" s="61" t="str">
        <f>IF($J127=0,"",IF(INDEX('Прайс и заказ'!F:F,$J127)="","",INDEX('Прайс и заказ'!F:F,$J127)))</f>
      </c>
      <c r="F127" s="62" t="str">
        <f>IF($J127=0,"",IF(INDEX('Прайс и заказ'!I:I,$J127)="","",INDEX('Прайс и заказ'!I:I,$J127)))</f>
      </c>
      <c r="G127" s="63" t="str">
        <f>IF($J127=0,"",IF(INDEX('Прайс и заказ'!K:K,$J127)="","",INDEX('Прайс и заказ'!K:K,$J127)))</f>
      </c>
      <c r="H127" s="62" t="str">
        <f>IF($J127=0,"",IF(INDEX('Прайс и заказ'!L:L,$J127)="","",INDEX('Прайс и заказ'!L:L,$J127)))</f>
      </c>
      <c r="I127" s="13" t="str">
        <f>IF($J127=0,"",IF(INDEX('Прайс и заказ'!M:M,$J127)="","",INDEX('Прайс и заказ'!M:M,$J127)))</f>
      </c>
      <c r="J127" t="str">
        <f>IFERROR(MATCH(119,'Прайс и заказ'!$N$7:$N$146,0)+6,0)</f>
      </c>
      <c r="L127" t="str">
        <f>IF($J127=0,"",IF(INDEX('Прайс и заказ'!Q:Q,$J127)="","",INDEX('Прайс и заказ'!Q:Q,$J127)))</f>
      </c>
    </row>
    <row r="128" spans="1:12" customHeight="1" ht="40">
      <c r="A128" s="13" t="str">
        <f>IF($J128=0,"",IFERROR(_xlfn.IMAGE(INDEX('Прайс и заказ'!$O:$O,$J128)),""))</f>
      </c>
      <c r="B128" s="61" t="str">
        <f>IF($J128=0,"",IF(INDEX('Прайс и заказ'!B:B,$J128)="","",INDEX('Прайс и заказ'!B:B,$J128)))</f>
      </c>
      <c r="C128" s="64" t="str">
        <f>IF($J128=0,"",IF(INDEX('Прайс и заказ'!C:C,$J128)="","",INDEX('Прайс и заказ'!C:C,$J128)))</f>
      </c>
      <c r="D128" s="64" t="str">
        <f>IF($J128=0,"",IF(INDEX('Прайс и заказ'!D:D,$J128)="","",INDEX('Прайс и заказ'!D:D,$J128)))</f>
      </c>
      <c r="E128" s="61" t="str">
        <f>IF($J128=0,"",IF(INDEX('Прайс и заказ'!F:F,$J128)="","",INDEX('Прайс и заказ'!F:F,$J128)))</f>
      </c>
      <c r="F128" s="62" t="str">
        <f>IF($J128=0,"",IF(INDEX('Прайс и заказ'!I:I,$J128)="","",INDEX('Прайс и заказ'!I:I,$J128)))</f>
      </c>
      <c r="G128" s="63" t="str">
        <f>IF($J128=0,"",IF(INDEX('Прайс и заказ'!K:K,$J128)="","",INDEX('Прайс и заказ'!K:K,$J128)))</f>
      </c>
      <c r="H128" s="62" t="str">
        <f>IF($J128=0,"",IF(INDEX('Прайс и заказ'!L:L,$J128)="","",INDEX('Прайс и заказ'!L:L,$J128)))</f>
      </c>
      <c r="I128" s="13" t="str">
        <f>IF($J128=0,"",IF(INDEX('Прайс и заказ'!M:M,$J128)="","",INDEX('Прайс и заказ'!M:M,$J128)))</f>
      </c>
      <c r="J128" t="str">
        <f>IFERROR(MATCH(120,'Прайс и заказ'!$N$7:$N$146,0)+6,0)</f>
      </c>
      <c r="L128" t="str">
        <f>IF($J128=0,"",IF(INDEX('Прайс и заказ'!Q:Q,$J128)="","",INDEX('Прайс и заказ'!Q:Q,$J128)))</f>
      </c>
    </row>
    <row r="129" spans="1:12" customHeight="1" ht="40">
      <c r="A129" s="13" t="str">
        <f>IF($J129=0,"",IFERROR(_xlfn.IMAGE(INDEX('Прайс и заказ'!$O:$O,$J129)),""))</f>
      </c>
      <c r="B129" s="61" t="str">
        <f>IF($J129=0,"",IF(INDEX('Прайс и заказ'!B:B,$J129)="","",INDEX('Прайс и заказ'!B:B,$J129)))</f>
      </c>
      <c r="C129" s="64" t="str">
        <f>IF($J129=0,"",IF(INDEX('Прайс и заказ'!C:C,$J129)="","",INDEX('Прайс и заказ'!C:C,$J129)))</f>
      </c>
      <c r="D129" s="64" t="str">
        <f>IF($J129=0,"",IF(INDEX('Прайс и заказ'!D:D,$J129)="","",INDEX('Прайс и заказ'!D:D,$J129)))</f>
      </c>
      <c r="E129" s="61" t="str">
        <f>IF($J129=0,"",IF(INDEX('Прайс и заказ'!F:F,$J129)="","",INDEX('Прайс и заказ'!F:F,$J129)))</f>
      </c>
      <c r="F129" s="62" t="str">
        <f>IF($J129=0,"",IF(INDEX('Прайс и заказ'!I:I,$J129)="","",INDEX('Прайс и заказ'!I:I,$J129)))</f>
      </c>
      <c r="G129" s="63" t="str">
        <f>IF($J129=0,"",IF(INDEX('Прайс и заказ'!K:K,$J129)="","",INDEX('Прайс и заказ'!K:K,$J129)))</f>
      </c>
      <c r="H129" s="62" t="str">
        <f>IF($J129=0,"",IF(INDEX('Прайс и заказ'!L:L,$J129)="","",INDEX('Прайс и заказ'!L:L,$J129)))</f>
      </c>
      <c r="I129" s="13" t="str">
        <f>IF($J129=0,"",IF(INDEX('Прайс и заказ'!M:M,$J129)="","",INDEX('Прайс и заказ'!M:M,$J129)))</f>
      </c>
      <c r="J129" t="str">
        <f>IFERROR(MATCH(121,'Прайс и заказ'!$N$7:$N$146,0)+6,0)</f>
      </c>
      <c r="L129" t="str">
        <f>IF($J129=0,"",IF(INDEX('Прайс и заказ'!Q:Q,$J129)="","",INDEX('Прайс и заказ'!Q:Q,$J129)))</f>
      </c>
    </row>
    <row r="130" spans="1:12" customHeight="1" ht="40">
      <c r="A130" s="13" t="str">
        <f>IF($J130=0,"",IFERROR(_xlfn.IMAGE(INDEX('Прайс и заказ'!$O:$O,$J130)),""))</f>
      </c>
      <c r="B130" s="61" t="str">
        <f>IF($J130=0,"",IF(INDEX('Прайс и заказ'!B:B,$J130)="","",INDEX('Прайс и заказ'!B:B,$J130)))</f>
      </c>
      <c r="C130" s="64" t="str">
        <f>IF($J130=0,"",IF(INDEX('Прайс и заказ'!C:C,$J130)="","",INDEX('Прайс и заказ'!C:C,$J130)))</f>
      </c>
      <c r="D130" s="64" t="str">
        <f>IF($J130=0,"",IF(INDEX('Прайс и заказ'!D:D,$J130)="","",INDEX('Прайс и заказ'!D:D,$J130)))</f>
      </c>
      <c r="E130" s="61" t="str">
        <f>IF($J130=0,"",IF(INDEX('Прайс и заказ'!F:F,$J130)="","",INDEX('Прайс и заказ'!F:F,$J130)))</f>
      </c>
      <c r="F130" s="62" t="str">
        <f>IF($J130=0,"",IF(INDEX('Прайс и заказ'!I:I,$J130)="","",INDEX('Прайс и заказ'!I:I,$J130)))</f>
      </c>
      <c r="G130" s="63" t="str">
        <f>IF($J130=0,"",IF(INDEX('Прайс и заказ'!K:K,$J130)="","",INDEX('Прайс и заказ'!K:K,$J130)))</f>
      </c>
      <c r="H130" s="62" t="str">
        <f>IF($J130=0,"",IF(INDEX('Прайс и заказ'!L:L,$J130)="","",INDEX('Прайс и заказ'!L:L,$J130)))</f>
      </c>
      <c r="I130" s="13" t="str">
        <f>IF($J130=0,"",IF(INDEX('Прайс и заказ'!M:M,$J130)="","",INDEX('Прайс и заказ'!M:M,$J130)))</f>
      </c>
      <c r="J130" t="str">
        <f>IFERROR(MATCH(122,'Прайс и заказ'!$N$7:$N$146,0)+6,0)</f>
      </c>
      <c r="L130" t="str">
        <f>IF($J130=0,"",IF(INDEX('Прайс и заказ'!Q:Q,$J130)="","",INDEX('Прайс и заказ'!Q:Q,$J130)))</f>
      </c>
    </row>
    <row r="131" spans="1:12" customHeight="1" ht="40">
      <c r="A131" s="13" t="str">
        <f>IF($J131=0,"",IFERROR(_xlfn.IMAGE(INDEX('Прайс и заказ'!$O:$O,$J131)),""))</f>
      </c>
      <c r="B131" s="61" t="str">
        <f>IF($J131=0,"",IF(INDEX('Прайс и заказ'!B:B,$J131)="","",INDEX('Прайс и заказ'!B:B,$J131)))</f>
      </c>
      <c r="C131" s="64" t="str">
        <f>IF($J131=0,"",IF(INDEX('Прайс и заказ'!C:C,$J131)="","",INDEX('Прайс и заказ'!C:C,$J131)))</f>
      </c>
      <c r="D131" s="64" t="str">
        <f>IF($J131=0,"",IF(INDEX('Прайс и заказ'!D:D,$J131)="","",INDEX('Прайс и заказ'!D:D,$J131)))</f>
      </c>
      <c r="E131" s="61" t="str">
        <f>IF($J131=0,"",IF(INDEX('Прайс и заказ'!F:F,$J131)="","",INDEX('Прайс и заказ'!F:F,$J131)))</f>
      </c>
      <c r="F131" s="62" t="str">
        <f>IF($J131=0,"",IF(INDEX('Прайс и заказ'!I:I,$J131)="","",INDEX('Прайс и заказ'!I:I,$J131)))</f>
      </c>
      <c r="G131" s="63" t="str">
        <f>IF($J131=0,"",IF(INDEX('Прайс и заказ'!K:K,$J131)="","",INDEX('Прайс и заказ'!K:K,$J131)))</f>
      </c>
      <c r="H131" s="62" t="str">
        <f>IF($J131=0,"",IF(INDEX('Прайс и заказ'!L:L,$J131)="","",INDEX('Прайс и заказ'!L:L,$J131)))</f>
      </c>
      <c r="I131" s="13" t="str">
        <f>IF($J131=0,"",IF(INDEX('Прайс и заказ'!M:M,$J131)="","",INDEX('Прайс и заказ'!M:M,$J131)))</f>
      </c>
      <c r="J131" t="str">
        <f>IFERROR(MATCH(123,'Прайс и заказ'!$N$7:$N$146,0)+6,0)</f>
      </c>
      <c r="L131" t="str">
        <f>IF($J131=0,"",IF(INDEX('Прайс и заказ'!Q:Q,$J131)="","",INDEX('Прайс и заказ'!Q:Q,$J131)))</f>
      </c>
    </row>
    <row r="132" spans="1:12" customHeight="1" ht="40">
      <c r="A132" s="13" t="str">
        <f>IF($J132=0,"",IFERROR(_xlfn.IMAGE(INDEX('Прайс и заказ'!$O:$O,$J132)),""))</f>
      </c>
      <c r="B132" s="61" t="str">
        <f>IF($J132=0,"",IF(INDEX('Прайс и заказ'!B:B,$J132)="","",INDEX('Прайс и заказ'!B:B,$J132)))</f>
      </c>
      <c r="C132" s="64" t="str">
        <f>IF($J132=0,"",IF(INDEX('Прайс и заказ'!C:C,$J132)="","",INDEX('Прайс и заказ'!C:C,$J132)))</f>
      </c>
      <c r="D132" s="64" t="str">
        <f>IF($J132=0,"",IF(INDEX('Прайс и заказ'!D:D,$J132)="","",INDEX('Прайс и заказ'!D:D,$J132)))</f>
      </c>
      <c r="E132" s="61" t="str">
        <f>IF($J132=0,"",IF(INDEX('Прайс и заказ'!F:F,$J132)="","",INDEX('Прайс и заказ'!F:F,$J132)))</f>
      </c>
      <c r="F132" s="62" t="str">
        <f>IF($J132=0,"",IF(INDEX('Прайс и заказ'!I:I,$J132)="","",INDEX('Прайс и заказ'!I:I,$J132)))</f>
      </c>
      <c r="G132" s="63" t="str">
        <f>IF($J132=0,"",IF(INDEX('Прайс и заказ'!K:K,$J132)="","",INDEX('Прайс и заказ'!K:K,$J132)))</f>
      </c>
      <c r="H132" s="62" t="str">
        <f>IF($J132=0,"",IF(INDEX('Прайс и заказ'!L:L,$J132)="","",INDEX('Прайс и заказ'!L:L,$J132)))</f>
      </c>
      <c r="I132" s="13" t="str">
        <f>IF($J132=0,"",IF(INDEX('Прайс и заказ'!M:M,$J132)="","",INDEX('Прайс и заказ'!M:M,$J132)))</f>
      </c>
      <c r="J132" t="str">
        <f>IFERROR(MATCH(124,'Прайс и заказ'!$N$7:$N$146,0)+6,0)</f>
      </c>
      <c r="L132" t="str">
        <f>IF($J132=0,"",IF(INDEX('Прайс и заказ'!Q:Q,$J132)="","",INDEX('Прайс и заказ'!Q:Q,$J132)))</f>
      </c>
    </row>
    <row r="133" spans="1:12" customHeight="1" ht="40">
      <c r="A133" s="13" t="str">
        <f>IF($J133=0,"",IFERROR(_xlfn.IMAGE(INDEX('Прайс и заказ'!$O:$O,$J133)),""))</f>
      </c>
      <c r="B133" s="61" t="str">
        <f>IF($J133=0,"",IF(INDEX('Прайс и заказ'!B:B,$J133)="","",INDEX('Прайс и заказ'!B:B,$J133)))</f>
      </c>
      <c r="C133" s="64" t="str">
        <f>IF($J133=0,"",IF(INDEX('Прайс и заказ'!C:C,$J133)="","",INDEX('Прайс и заказ'!C:C,$J133)))</f>
      </c>
      <c r="D133" s="64" t="str">
        <f>IF($J133=0,"",IF(INDEX('Прайс и заказ'!D:D,$J133)="","",INDEX('Прайс и заказ'!D:D,$J133)))</f>
      </c>
      <c r="E133" s="61" t="str">
        <f>IF($J133=0,"",IF(INDEX('Прайс и заказ'!F:F,$J133)="","",INDEX('Прайс и заказ'!F:F,$J133)))</f>
      </c>
      <c r="F133" s="62" t="str">
        <f>IF($J133=0,"",IF(INDEX('Прайс и заказ'!I:I,$J133)="","",INDEX('Прайс и заказ'!I:I,$J133)))</f>
      </c>
      <c r="G133" s="63" t="str">
        <f>IF($J133=0,"",IF(INDEX('Прайс и заказ'!K:K,$J133)="","",INDEX('Прайс и заказ'!K:K,$J133)))</f>
      </c>
      <c r="H133" s="62" t="str">
        <f>IF($J133=0,"",IF(INDEX('Прайс и заказ'!L:L,$J133)="","",INDEX('Прайс и заказ'!L:L,$J133)))</f>
      </c>
      <c r="I133" s="13" t="str">
        <f>IF($J133=0,"",IF(INDEX('Прайс и заказ'!M:M,$J133)="","",INDEX('Прайс и заказ'!M:M,$J133)))</f>
      </c>
      <c r="J133" t="str">
        <f>IFERROR(MATCH(125,'Прайс и заказ'!$N$7:$N$146,0)+6,0)</f>
      </c>
      <c r="L133" t="str">
        <f>IF($J133=0,"",IF(INDEX('Прайс и заказ'!Q:Q,$J133)="","",INDEX('Прайс и заказ'!Q:Q,$J133)))</f>
      </c>
    </row>
    <row r="134" spans="1:12" customHeight="1" ht="40">
      <c r="A134" s="13" t="str">
        <f>IF($J134=0,"",IFERROR(_xlfn.IMAGE(INDEX('Прайс и заказ'!$O:$O,$J134)),""))</f>
      </c>
      <c r="B134" s="61" t="str">
        <f>IF($J134=0,"",IF(INDEX('Прайс и заказ'!B:B,$J134)="","",INDEX('Прайс и заказ'!B:B,$J134)))</f>
      </c>
      <c r="C134" s="64" t="str">
        <f>IF($J134=0,"",IF(INDEX('Прайс и заказ'!C:C,$J134)="","",INDEX('Прайс и заказ'!C:C,$J134)))</f>
      </c>
      <c r="D134" s="64" t="str">
        <f>IF($J134=0,"",IF(INDEX('Прайс и заказ'!D:D,$J134)="","",INDEX('Прайс и заказ'!D:D,$J134)))</f>
      </c>
      <c r="E134" s="61" t="str">
        <f>IF($J134=0,"",IF(INDEX('Прайс и заказ'!F:F,$J134)="","",INDEX('Прайс и заказ'!F:F,$J134)))</f>
      </c>
      <c r="F134" s="62" t="str">
        <f>IF($J134=0,"",IF(INDEX('Прайс и заказ'!I:I,$J134)="","",INDEX('Прайс и заказ'!I:I,$J134)))</f>
      </c>
      <c r="G134" s="63" t="str">
        <f>IF($J134=0,"",IF(INDEX('Прайс и заказ'!K:K,$J134)="","",INDEX('Прайс и заказ'!K:K,$J134)))</f>
      </c>
      <c r="H134" s="62" t="str">
        <f>IF($J134=0,"",IF(INDEX('Прайс и заказ'!L:L,$J134)="","",INDEX('Прайс и заказ'!L:L,$J134)))</f>
      </c>
      <c r="I134" s="13" t="str">
        <f>IF($J134=0,"",IF(INDEX('Прайс и заказ'!M:M,$J134)="","",INDEX('Прайс и заказ'!M:M,$J134)))</f>
      </c>
      <c r="J134" t="str">
        <f>IFERROR(MATCH(126,'Прайс и заказ'!$N$7:$N$146,0)+6,0)</f>
      </c>
      <c r="L134" t="str">
        <f>IF($J134=0,"",IF(INDEX('Прайс и заказ'!Q:Q,$J134)="","",INDEX('Прайс и заказ'!Q:Q,$J134)))</f>
      </c>
    </row>
    <row r="135" spans="1:12" customHeight="1" ht="40">
      <c r="A135" s="13" t="str">
        <f>IF($J135=0,"",IFERROR(_xlfn.IMAGE(INDEX('Прайс и заказ'!$O:$O,$J135)),""))</f>
      </c>
      <c r="B135" s="61" t="str">
        <f>IF($J135=0,"",IF(INDEX('Прайс и заказ'!B:B,$J135)="","",INDEX('Прайс и заказ'!B:B,$J135)))</f>
      </c>
      <c r="C135" s="64" t="str">
        <f>IF($J135=0,"",IF(INDEX('Прайс и заказ'!C:C,$J135)="","",INDEX('Прайс и заказ'!C:C,$J135)))</f>
      </c>
      <c r="D135" s="64" t="str">
        <f>IF($J135=0,"",IF(INDEX('Прайс и заказ'!D:D,$J135)="","",INDEX('Прайс и заказ'!D:D,$J135)))</f>
      </c>
      <c r="E135" s="61" t="str">
        <f>IF($J135=0,"",IF(INDEX('Прайс и заказ'!F:F,$J135)="","",INDEX('Прайс и заказ'!F:F,$J135)))</f>
      </c>
      <c r="F135" s="62" t="str">
        <f>IF($J135=0,"",IF(INDEX('Прайс и заказ'!I:I,$J135)="","",INDEX('Прайс и заказ'!I:I,$J135)))</f>
      </c>
      <c r="G135" s="63" t="str">
        <f>IF($J135=0,"",IF(INDEX('Прайс и заказ'!K:K,$J135)="","",INDEX('Прайс и заказ'!K:K,$J135)))</f>
      </c>
      <c r="H135" s="62" t="str">
        <f>IF($J135=0,"",IF(INDEX('Прайс и заказ'!L:L,$J135)="","",INDEX('Прайс и заказ'!L:L,$J135)))</f>
      </c>
      <c r="I135" s="13" t="str">
        <f>IF($J135=0,"",IF(INDEX('Прайс и заказ'!M:M,$J135)="","",INDEX('Прайс и заказ'!M:M,$J135)))</f>
      </c>
      <c r="J135" t="str">
        <f>IFERROR(MATCH(127,'Прайс и заказ'!$N$7:$N$146,0)+6,0)</f>
      </c>
      <c r="L135" t="str">
        <f>IF($J135=0,"",IF(INDEX('Прайс и заказ'!Q:Q,$J135)="","",INDEX('Прайс и заказ'!Q:Q,$J135)))</f>
      </c>
    </row>
    <row r="136" spans="1:12" customHeight="1" ht="40">
      <c r="A136" s="13" t="str">
        <f>IF($J136=0,"",IFERROR(_xlfn.IMAGE(INDEX('Прайс и заказ'!$O:$O,$J136)),""))</f>
      </c>
      <c r="B136" s="61" t="str">
        <f>IF($J136=0,"",IF(INDEX('Прайс и заказ'!B:B,$J136)="","",INDEX('Прайс и заказ'!B:B,$J136)))</f>
      </c>
      <c r="C136" s="64" t="str">
        <f>IF($J136=0,"",IF(INDEX('Прайс и заказ'!C:C,$J136)="","",INDEX('Прайс и заказ'!C:C,$J136)))</f>
      </c>
      <c r="D136" s="64" t="str">
        <f>IF($J136=0,"",IF(INDEX('Прайс и заказ'!D:D,$J136)="","",INDEX('Прайс и заказ'!D:D,$J136)))</f>
      </c>
      <c r="E136" s="61" t="str">
        <f>IF($J136=0,"",IF(INDEX('Прайс и заказ'!F:F,$J136)="","",INDEX('Прайс и заказ'!F:F,$J136)))</f>
      </c>
      <c r="F136" s="62" t="str">
        <f>IF($J136=0,"",IF(INDEX('Прайс и заказ'!I:I,$J136)="","",INDEX('Прайс и заказ'!I:I,$J136)))</f>
      </c>
      <c r="G136" s="63" t="str">
        <f>IF($J136=0,"",IF(INDEX('Прайс и заказ'!K:K,$J136)="","",INDEX('Прайс и заказ'!K:K,$J136)))</f>
      </c>
      <c r="H136" s="62" t="str">
        <f>IF($J136=0,"",IF(INDEX('Прайс и заказ'!L:L,$J136)="","",INDEX('Прайс и заказ'!L:L,$J136)))</f>
      </c>
      <c r="I136" s="13" t="str">
        <f>IF($J136=0,"",IF(INDEX('Прайс и заказ'!M:M,$J136)="","",INDEX('Прайс и заказ'!M:M,$J136)))</f>
      </c>
      <c r="J136" t="str">
        <f>IFERROR(MATCH(128,'Прайс и заказ'!$N$7:$N$146,0)+6,0)</f>
      </c>
      <c r="L136" t="str">
        <f>IF($J136=0,"",IF(INDEX('Прайс и заказ'!Q:Q,$J136)="","",INDEX('Прайс и заказ'!Q:Q,$J136)))</f>
      </c>
    </row>
    <row r="137" spans="1:12" customHeight="1" ht="40">
      <c r="A137" s="13" t="str">
        <f>IF($J137=0,"",IFERROR(_xlfn.IMAGE(INDEX('Прайс и заказ'!$O:$O,$J137)),""))</f>
      </c>
      <c r="B137" s="61" t="str">
        <f>IF($J137=0,"",IF(INDEX('Прайс и заказ'!B:B,$J137)="","",INDEX('Прайс и заказ'!B:B,$J137)))</f>
      </c>
      <c r="C137" s="64" t="str">
        <f>IF($J137=0,"",IF(INDEX('Прайс и заказ'!C:C,$J137)="","",INDEX('Прайс и заказ'!C:C,$J137)))</f>
      </c>
      <c r="D137" s="64" t="str">
        <f>IF($J137=0,"",IF(INDEX('Прайс и заказ'!D:D,$J137)="","",INDEX('Прайс и заказ'!D:D,$J137)))</f>
      </c>
      <c r="E137" s="61" t="str">
        <f>IF($J137=0,"",IF(INDEX('Прайс и заказ'!F:F,$J137)="","",INDEX('Прайс и заказ'!F:F,$J137)))</f>
      </c>
      <c r="F137" s="62" t="str">
        <f>IF($J137=0,"",IF(INDEX('Прайс и заказ'!I:I,$J137)="","",INDEX('Прайс и заказ'!I:I,$J137)))</f>
      </c>
      <c r="G137" s="63" t="str">
        <f>IF($J137=0,"",IF(INDEX('Прайс и заказ'!K:K,$J137)="","",INDEX('Прайс и заказ'!K:K,$J137)))</f>
      </c>
      <c r="H137" s="62" t="str">
        <f>IF($J137=0,"",IF(INDEX('Прайс и заказ'!L:L,$J137)="","",INDEX('Прайс и заказ'!L:L,$J137)))</f>
      </c>
      <c r="I137" s="13" t="str">
        <f>IF($J137=0,"",IF(INDEX('Прайс и заказ'!M:M,$J137)="","",INDEX('Прайс и заказ'!M:M,$J137)))</f>
      </c>
      <c r="J137" t="str">
        <f>IFERROR(MATCH(129,'Прайс и заказ'!$N$7:$N$146,0)+6,0)</f>
      </c>
      <c r="L137" t="str">
        <f>IF($J137=0,"",IF(INDEX('Прайс и заказ'!Q:Q,$J137)="","",INDEX('Прайс и заказ'!Q:Q,$J137)))</f>
      </c>
    </row>
    <row r="138" spans="1:12" customHeight="1" ht="40">
      <c r="A138" s="13" t="str">
        <f>IF($J138=0,"",IFERROR(_xlfn.IMAGE(INDEX('Прайс и заказ'!$O:$O,$J138)),""))</f>
      </c>
      <c r="B138" s="61" t="str">
        <f>IF($J138=0,"",IF(INDEX('Прайс и заказ'!B:B,$J138)="","",INDEX('Прайс и заказ'!B:B,$J138)))</f>
      </c>
      <c r="C138" s="64" t="str">
        <f>IF($J138=0,"",IF(INDEX('Прайс и заказ'!C:C,$J138)="","",INDEX('Прайс и заказ'!C:C,$J138)))</f>
      </c>
      <c r="D138" s="64" t="str">
        <f>IF($J138=0,"",IF(INDEX('Прайс и заказ'!D:D,$J138)="","",INDEX('Прайс и заказ'!D:D,$J138)))</f>
      </c>
      <c r="E138" s="61" t="str">
        <f>IF($J138=0,"",IF(INDEX('Прайс и заказ'!F:F,$J138)="","",INDEX('Прайс и заказ'!F:F,$J138)))</f>
      </c>
      <c r="F138" s="62" t="str">
        <f>IF($J138=0,"",IF(INDEX('Прайс и заказ'!I:I,$J138)="","",INDEX('Прайс и заказ'!I:I,$J138)))</f>
      </c>
      <c r="G138" s="63" t="str">
        <f>IF($J138=0,"",IF(INDEX('Прайс и заказ'!K:K,$J138)="","",INDEX('Прайс и заказ'!K:K,$J138)))</f>
      </c>
      <c r="H138" s="62" t="str">
        <f>IF($J138=0,"",IF(INDEX('Прайс и заказ'!L:L,$J138)="","",INDEX('Прайс и заказ'!L:L,$J138)))</f>
      </c>
      <c r="I138" s="13" t="str">
        <f>IF($J138=0,"",IF(INDEX('Прайс и заказ'!M:M,$J138)="","",INDEX('Прайс и заказ'!M:M,$J138)))</f>
      </c>
      <c r="J138" t="str">
        <f>IFERROR(MATCH(130,'Прайс и заказ'!$N$7:$N$146,0)+6,0)</f>
      </c>
      <c r="L138" t="str">
        <f>IF($J138=0,"",IF(INDEX('Прайс и заказ'!Q:Q,$J138)="","",INDEX('Прайс и заказ'!Q:Q,$J138)))</f>
      </c>
    </row>
    <row r="139" spans="1:12" customHeight="1" ht="40">
      <c r="A139" s="13" t="str">
        <f>IF($J139=0,"",IFERROR(_xlfn.IMAGE(INDEX('Прайс и заказ'!$O:$O,$J139)),""))</f>
      </c>
      <c r="B139" s="61" t="str">
        <f>IF($J139=0,"",IF(INDEX('Прайс и заказ'!B:B,$J139)="","",INDEX('Прайс и заказ'!B:B,$J139)))</f>
      </c>
      <c r="C139" s="64" t="str">
        <f>IF($J139=0,"",IF(INDEX('Прайс и заказ'!C:C,$J139)="","",INDEX('Прайс и заказ'!C:C,$J139)))</f>
      </c>
      <c r="D139" s="64" t="str">
        <f>IF($J139=0,"",IF(INDEX('Прайс и заказ'!D:D,$J139)="","",INDEX('Прайс и заказ'!D:D,$J139)))</f>
      </c>
      <c r="E139" s="61" t="str">
        <f>IF($J139=0,"",IF(INDEX('Прайс и заказ'!F:F,$J139)="","",INDEX('Прайс и заказ'!F:F,$J139)))</f>
      </c>
      <c r="F139" s="62" t="str">
        <f>IF($J139=0,"",IF(INDEX('Прайс и заказ'!I:I,$J139)="","",INDEX('Прайс и заказ'!I:I,$J139)))</f>
      </c>
      <c r="G139" s="63" t="str">
        <f>IF($J139=0,"",IF(INDEX('Прайс и заказ'!K:K,$J139)="","",INDEX('Прайс и заказ'!K:K,$J139)))</f>
      </c>
      <c r="H139" s="62" t="str">
        <f>IF($J139=0,"",IF(INDEX('Прайс и заказ'!L:L,$J139)="","",INDEX('Прайс и заказ'!L:L,$J139)))</f>
      </c>
      <c r="I139" s="13" t="str">
        <f>IF($J139=0,"",IF(INDEX('Прайс и заказ'!M:M,$J139)="","",INDEX('Прайс и заказ'!M:M,$J139)))</f>
      </c>
      <c r="J139" t="str">
        <f>IFERROR(MATCH(131,'Прайс и заказ'!$N$7:$N$146,0)+6,0)</f>
      </c>
      <c r="L139" t="str">
        <f>IF($J139=0,"",IF(INDEX('Прайс и заказ'!Q:Q,$J139)="","",INDEX('Прайс и заказ'!Q:Q,$J139)))</f>
      </c>
    </row>
    <row r="140" spans="1:12" customHeight="1" ht="40">
      <c r="A140" s="13" t="str">
        <f>IF($J140=0,"",IFERROR(_xlfn.IMAGE(INDEX('Прайс и заказ'!$O:$O,$J140)),""))</f>
      </c>
      <c r="B140" s="61" t="str">
        <f>IF($J140=0,"",IF(INDEX('Прайс и заказ'!B:B,$J140)="","",INDEX('Прайс и заказ'!B:B,$J140)))</f>
      </c>
      <c r="C140" s="64" t="str">
        <f>IF($J140=0,"",IF(INDEX('Прайс и заказ'!C:C,$J140)="","",INDEX('Прайс и заказ'!C:C,$J140)))</f>
      </c>
      <c r="D140" s="64" t="str">
        <f>IF($J140=0,"",IF(INDEX('Прайс и заказ'!D:D,$J140)="","",INDEX('Прайс и заказ'!D:D,$J140)))</f>
      </c>
      <c r="E140" s="61" t="str">
        <f>IF($J140=0,"",IF(INDEX('Прайс и заказ'!F:F,$J140)="","",INDEX('Прайс и заказ'!F:F,$J140)))</f>
      </c>
      <c r="F140" s="62" t="str">
        <f>IF($J140=0,"",IF(INDEX('Прайс и заказ'!I:I,$J140)="","",INDEX('Прайс и заказ'!I:I,$J140)))</f>
      </c>
      <c r="G140" s="63" t="str">
        <f>IF($J140=0,"",IF(INDEX('Прайс и заказ'!K:K,$J140)="","",INDEX('Прайс и заказ'!K:K,$J140)))</f>
      </c>
      <c r="H140" s="62" t="str">
        <f>IF($J140=0,"",IF(INDEX('Прайс и заказ'!L:L,$J140)="","",INDEX('Прайс и заказ'!L:L,$J140)))</f>
      </c>
      <c r="I140" s="13" t="str">
        <f>IF($J140=0,"",IF(INDEX('Прайс и заказ'!M:M,$J140)="","",INDEX('Прайс и заказ'!M:M,$J140)))</f>
      </c>
      <c r="J140" t="str">
        <f>IFERROR(MATCH(132,'Прайс и заказ'!$N$7:$N$146,0)+6,0)</f>
      </c>
      <c r="L140" t="str">
        <f>IF($J140=0,"",IF(INDEX('Прайс и заказ'!Q:Q,$J140)="","",INDEX('Прайс и заказ'!Q:Q,$J140)))</f>
      </c>
    </row>
    <row r="141" spans="1:12" customHeight="1" ht="40">
      <c r="A141" s="13" t="str">
        <f>IF($J141=0,"",IFERROR(_xlfn.IMAGE(INDEX('Прайс и заказ'!$O:$O,$J141)),""))</f>
      </c>
      <c r="B141" s="61" t="str">
        <f>IF($J141=0,"",IF(INDEX('Прайс и заказ'!B:B,$J141)="","",INDEX('Прайс и заказ'!B:B,$J141)))</f>
      </c>
      <c r="C141" s="64" t="str">
        <f>IF($J141=0,"",IF(INDEX('Прайс и заказ'!C:C,$J141)="","",INDEX('Прайс и заказ'!C:C,$J141)))</f>
      </c>
      <c r="D141" s="64" t="str">
        <f>IF($J141=0,"",IF(INDEX('Прайс и заказ'!D:D,$J141)="","",INDEX('Прайс и заказ'!D:D,$J141)))</f>
      </c>
      <c r="E141" s="61" t="str">
        <f>IF($J141=0,"",IF(INDEX('Прайс и заказ'!F:F,$J141)="","",INDEX('Прайс и заказ'!F:F,$J141)))</f>
      </c>
      <c r="F141" s="62" t="str">
        <f>IF($J141=0,"",IF(INDEX('Прайс и заказ'!I:I,$J141)="","",INDEX('Прайс и заказ'!I:I,$J141)))</f>
      </c>
      <c r="G141" s="63" t="str">
        <f>IF($J141=0,"",IF(INDEX('Прайс и заказ'!K:K,$J141)="","",INDEX('Прайс и заказ'!K:K,$J141)))</f>
      </c>
      <c r="H141" s="62" t="str">
        <f>IF($J141=0,"",IF(INDEX('Прайс и заказ'!L:L,$J141)="","",INDEX('Прайс и заказ'!L:L,$J141)))</f>
      </c>
      <c r="I141" s="13" t="str">
        <f>IF($J141=0,"",IF(INDEX('Прайс и заказ'!M:M,$J141)="","",INDEX('Прайс и заказ'!M:M,$J141)))</f>
      </c>
      <c r="J141" t="str">
        <f>IFERROR(MATCH(133,'Прайс и заказ'!$N$7:$N$146,0)+6,0)</f>
      </c>
      <c r="L141" t="str">
        <f>IF($J141=0,"",IF(INDEX('Прайс и заказ'!Q:Q,$J141)="","",INDEX('Прайс и заказ'!Q:Q,$J141)))</f>
      </c>
    </row>
    <row r="142" spans="1:12" customHeight="1" ht="40">
      <c r="A142" s="13" t="str">
        <f>IF($J142=0,"",IFERROR(_xlfn.IMAGE(INDEX('Прайс и заказ'!$O:$O,$J142)),""))</f>
      </c>
      <c r="B142" s="61" t="str">
        <f>IF($J142=0,"",IF(INDEX('Прайс и заказ'!B:B,$J142)="","",INDEX('Прайс и заказ'!B:B,$J142)))</f>
      </c>
      <c r="C142" s="64" t="str">
        <f>IF($J142=0,"",IF(INDEX('Прайс и заказ'!C:C,$J142)="","",INDEX('Прайс и заказ'!C:C,$J142)))</f>
      </c>
      <c r="D142" s="64" t="str">
        <f>IF($J142=0,"",IF(INDEX('Прайс и заказ'!D:D,$J142)="","",INDEX('Прайс и заказ'!D:D,$J142)))</f>
      </c>
      <c r="E142" s="61" t="str">
        <f>IF($J142=0,"",IF(INDEX('Прайс и заказ'!F:F,$J142)="","",INDEX('Прайс и заказ'!F:F,$J142)))</f>
      </c>
      <c r="F142" s="62" t="str">
        <f>IF($J142=0,"",IF(INDEX('Прайс и заказ'!I:I,$J142)="","",INDEX('Прайс и заказ'!I:I,$J142)))</f>
      </c>
      <c r="G142" s="63" t="str">
        <f>IF($J142=0,"",IF(INDEX('Прайс и заказ'!K:K,$J142)="","",INDEX('Прайс и заказ'!K:K,$J142)))</f>
      </c>
      <c r="H142" s="62" t="str">
        <f>IF($J142=0,"",IF(INDEX('Прайс и заказ'!L:L,$J142)="","",INDEX('Прайс и заказ'!L:L,$J142)))</f>
      </c>
      <c r="I142" s="13" t="str">
        <f>IF($J142=0,"",IF(INDEX('Прайс и заказ'!M:M,$J142)="","",INDEX('Прайс и заказ'!M:M,$J142)))</f>
      </c>
      <c r="J142" t="str">
        <f>IFERROR(MATCH(134,'Прайс и заказ'!$N$7:$N$146,0)+6,0)</f>
      </c>
      <c r="L142" t="str">
        <f>IF($J142=0,"",IF(INDEX('Прайс и заказ'!Q:Q,$J142)="","",INDEX('Прайс и заказ'!Q:Q,$J142)))</f>
      </c>
    </row>
    <row r="143" spans="1:12" customHeight="1" ht="40">
      <c r="A143" s="13" t="str">
        <f>IF($J143=0,"",IFERROR(_xlfn.IMAGE(INDEX('Прайс и заказ'!$O:$O,$J143)),""))</f>
      </c>
      <c r="B143" s="61" t="str">
        <f>IF($J143=0,"",IF(INDEX('Прайс и заказ'!B:B,$J143)="","",INDEX('Прайс и заказ'!B:B,$J143)))</f>
      </c>
      <c r="C143" s="64" t="str">
        <f>IF($J143=0,"",IF(INDEX('Прайс и заказ'!C:C,$J143)="","",INDEX('Прайс и заказ'!C:C,$J143)))</f>
      </c>
      <c r="D143" s="64" t="str">
        <f>IF($J143=0,"",IF(INDEX('Прайс и заказ'!D:D,$J143)="","",INDEX('Прайс и заказ'!D:D,$J143)))</f>
      </c>
      <c r="E143" s="61" t="str">
        <f>IF($J143=0,"",IF(INDEX('Прайс и заказ'!F:F,$J143)="","",INDEX('Прайс и заказ'!F:F,$J143)))</f>
      </c>
      <c r="F143" s="62" t="str">
        <f>IF($J143=0,"",IF(INDEX('Прайс и заказ'!I:I,$J143)="","",INDEX('Прайс и заказ'!I:I,$J143)))</f>
      </c>
      <c r="G143" s="63" t="str">
        <f>IF($J143=0,"",IF(INDEX('Прайс и заказ'!K:K,$J143)="","",INDEX('Прайс и заказ'!K:K,$J143)))</f>
      </c>
      <c r="H143" s="62" t="str">
        <f>IF($J143=0,"",IF(INDEX('Прайс и заказ'!L:L,$J143)="","",INDEX('Прайс и заказ'!L:L,$J143)))</f>
      </c>
      <c r="I143" s="13" t="str">
        <f>IF($J143=0,"",IF(INDEX('Прайс и заказ'!M:M,$J143)="","",INDEX('Прайс и заказ'!M:M,$J143)))</f>
      </c>
      <c r="J143" t="str">
        <f>IFERROR(MATCH(135,'Прайс и заказ'!$N$7:$N$146,0)+6,0)</f>
      </c>
      <c r="L143" t="str">
        <f>IF($J143=0,"",IF(INDEX('Прайс и заказ'!Q:Q,$J143)="","",INDEX('Прайс и заказ'!Q:Q,$J143)))</f>
      </c>
    </row>
    <row r="144" spans="1:12" customHeight="1" ht="40">
      <c r="A144" s="13" t="str">
        <f>IF($J144=0,"",IFERROR(_xlfn.IMAGE(INDEX('Прайс и заказ'!$O:$O,$J144)),""))</f>
      </c>
      <c r="B144" s="61" t="str">
        <f>IF($J144=0,"",IF(INDEX('Прайс и заказ'!B:B,$J144)="","",INDEX('Прайс и заказ'!B:B,$J144)))</f>
      </c>
      <c r="C144" s="64" t="str">
        <f>IF($J144=0,"",IF(INDEX('Прайс и заказ'!C:C,$J144)="","",INDEX('Прайс и заказ'!C:C,$J144)))</f>
      </c>
      <c r="D144" s="64" t="str">
        <f>IF($J144=0,"",IF(INDEX('Прайс и заказ'!D:D,$J144)="","",INDEX('Прайс и заказ'!D:D,$J144)))</f>
      </c>
      <c r="E144" s="61" t="str">
        <f>IF($J144=0,"",IF(INDEX('Прайс и заказ'!F:F,$J144)="","",INDEX('Прайс и заказ'!F:F,$J144)))</f>
      </c>
      <c r="F144" s="62" t="str">
        <f>IF($J144=0,"",IF(INDEX('Прайс и заказ'!I:I,$J144)="","",INDEX('Прайс и заказ'!I:I,$J144)))</f>
      </c>
      <c r="G144" s="63" t="str">
        <f>IF($J144=0,"",IF(INDEX('Прайс и заказ'!K:K,$J144)="","",INDEX('Прайс и заказ'!K:K,$J144)))</f>
      </c>
      <c r="H144" s="62" t="str">
        <f>IF($J144=0,"",IF(INDEX('Прайс и заказ'!L:L,$J144)="","",INDEX('Прайс и заказ'!L:L,$J144)))</f>
      </c>
      <c r="I144" s="13" t="str">
        <f>IF($J144=0,"",IF(INDEX('Прайс и заказ'!M:M,$J144)="","",INDEX('Прайс и заказ'!M:M,$J144)))</f>
      </c>
      <c r="J144" t="str">
        <f>IFERROR(MATCH(136,'Прайс и заказ'!$N$7:$N$146,0)+6,0)</f>
      </c>
      <c r="L144" t="str">
        <f>IF($J144=0,"",IF(INDEX('Прайс и заказ'!Q:Q,$J144)="","",INDEX('Прайс и заказ'!Q:Q,$J144)))</f>
      </c>
    </row>
    <row r="145" spans="1:12" customHeight="1" ht="40">
      <c r="A145" s="13" t="str">
        <f>IF($J145=0,"",IFERROR(_xlfn.IMAGE(INDEX('Прайс и заказ'!$O:$O,$J145)),""))</f>
      </c>
      <c r="B145" s="61" t="str">
        <f>IF($J145=0,"",IF(INDEX('Прайс и заказ'!B:B,$J145)="","",INDEX('Прайс и заказ'!B:B,$J145)))</f>
      </c>
      <c r="C145" s="64" t="str">
        <f>IF($J145=0,"",IF(INDEX('Прайс и заказ'!C:C,$J145)="","",INDEX('Прайс и заказ'!C:C,$J145)))</f>
      </c>
      <c r="D145" s="64" t="str">
        <f>IF($J145=0,"",IF(INDEX('Прайс и заказ'!D:D,$J145)="","",INDEX('Прайс и заказ'!D:D,$J145)))</f>
      </c>
      <c r="E145" s="61" t="str">
        <f>IF($J145=0,"",IF(INDEX('Прайс и заказ'!F:F,$J145)="","",INDEX('Прайс и заказ'!F:F,$J145)))</f>
      </c>
      <c r="F145" s="62" t="str">
        <f>IF($J145=0,"",IF(INDEX('Прайс и заказ'!I:I,$J145)="","",INDEX('Прайс и заказ'!I:I,$J145)))</f>
      </c>
      <c r="G145" s="63" t="str">
        <f>IF($J145=0,"",IF(INDEX('Прайс и заказ'!K:K,$J145)="","",INDEX('Прайс и заказ'!K:K,$J145)))</f>
      </c>
      <c r="H145" s="62" t="str">
        <f>IF($J145=0,"",IF(INDEX('Прайс и заказ'!L:L,$J145)="","",INDEX('Прайс и заказ'!L:L,$J145)))</f>
      </c>
      <c r="I145" s="13" t="str">
        <f>IF($J145=0,"",IF(INDEX('Прайс и заказ'!M:M,$J145)="","",INDEX('Прайс и заказ'!M:M,$J145)))</f>
      </c>
      <c r="J145" t="str">
        <f>IFERROR(MATCH(137,'Прайс и заказ'!$N$7:$N$146,0)+6,0)</f>
      </c>
      <c r="L145" t="str">
        <f>IF($J145=0,"",IF(INDEX('Прайс и заказ'!Q:Q,$J145)="","",INDEX('Прайс и заказ'!Q:Q,$J145)))</f>
      </c>
    </row>
    <row r="146" spans="1:12" customHeight="1" ht="40">
      <c r="A146" s="13" t="str">
        <f>IF($J146=0,"",IFERROR(_xlfn.IMAGE(INDEX('Прайс и заказ'!$O:$O,$J146)),""))</f>
      </c>
      <c r="B146" s="61" t="str">
        <f>IF($J146=0,"",IF(INDEX('Прайс и заказ'!B:B,$J146)="","",INDEX('Прайс и заказ'!B:B,$J146)))</f>
      </c>
      <c r="C146" s="64" t="str">
        <f>IF($J146=0,"",IF(INDEX('Прайс и заказ'!C:C,$J146)="","",INDEX('Прайс и заказ'!C:C,$J146)))</f>
      </c>
      <c r="D146" s="64" t="str">
        <f>IF($J146=0,"",IF(INDEX('Прайс и заказ'!D:D,$J146)="","",INDEX('Прайс и заказ'!D:D,$J146)))</f>
      </c>
      <c r="E146" s="61" t="str">
        <f>IF($J146=0,"",IF(INDEX('Прайс и заказ'!F:F,$J146)="","",INDEX('Прайс и заказ'!F:F,$J146)))</f>
      </c>
      <c r="F146" s="62" t="str">
        <f>IF($J146=0,"",IF(INDEX('Прайс и заказ'!I:I,$J146)="","",INDEX('Прайс и заказ'!I:I,$J146)))</f>
      </c>
      <c r="G146" s="63" t="str">
        <f>IF($J146=0,"",IF(INDEX('Прайс и заказ'!K:K,$J146)="","",INDEX('Прайс и заказ'!K:K,$J146)))</f>
      </c>
      <c r="H146" s="62" t="str">
        <f>IF($J146=0,"",IF(INDEX('Прайс и заказ'!L:L,$J146)="","",INDEX('Прайс и заказ'!L:L,$J146)))</f>
      </c>
      <c r="I146" s="13" t="str">
        <f>IF($J146=0,"",IF(INDEX('Прайс и заказ'!M:M,$J146)="","",INDEX('Прайс и заказ'!M:M,$J146)))</f>
      </c>
      <c r="J146" t="str">
        <f>IFERROR(MATCH(138,'Прайс и заказ'!$N$7:$N$146,0)+6,0)</f>
      </c>
      <c r="L146" t="str">
        <f>IF($J146=0,"",IF(INDEX('Прайс и заказ'!Q:Q,$J146)="","",INDEX('Прайс и заказ'!Q:Q,$J146)))</f>
      </c>
    </row>
    <row r="147" spans="1:12" customHeight="1" ht="40">
      <c r="A147" s="13" t="str">
        <f>IF($J147=0,"",IFERROR(_xlfn.IMAGE(INDEX('Прайс и заказ'!$O:$O,$J147)),""))</f>
      </c>
      <c r="B147" s="61" t="str">
        <f>IF($J147=0,"",IF(INDEX('Прайс и заказ'!B:B,$J147)="","",INDEX('Прайс и заказ'!B:B,$J147)))</f>
      </c>
      <c r="C147" s="64" t="str">
        <f>IF($J147=0,"",IF(INDEX('Прайс и заказ'!C:C,$J147)="","",INDEX('Прайс и заказ'!C:C,$J147)))</f>
      </c>
      <c r="D147" s="64" t="str">
        <f>IF($J147=0,"",IF(INDEX('Прайс и заказ'!D:D,$J147)="","",INDEX('Прайс и заказ'!D:D,$J147)))</f>
      </c>
      <c r="E147" s="61" t="str">
        <f>IF($J147=0,"",IF(INDEX('Прайс и заказ'!F:F,$J147)="","",INDEX('Прайс и заказ'!F:F,$J147)))</f>
      </c>
      <c r="F147" s="62" t="str">
        <f>IF($J147=0,"",IF(INDEX('Прайс и заказ'!I:I,$J147)="","",INDEX('Прайс и заказ'!I:I,$J147)))</f>
      </c>
      <c r="G147" s="63" t="str">
        <f>IF($J147=0,"",IF(INDEX('Прайс и заказ'!K:K,$J147)="","",INDEX('Прайс и заказ'!K:K,$J147)))</f>
      </c>
      <c r="H147" s="62" t="str">
        <f>IF($J147=0,"",IF(INDEX('Прайс и заказ'!L:L,$J147)="","",INDEX('Прайс и заказ'!L:L,$J147)))</f>
      </c>
      <c r="I147" s="13" t="str">
        <f>IF($J147=0,"",IF(INDEX('Прайс и заказ'!M:M,$J147)="","",INDEX('Прайс и заказ'!M:M,$J147)))</f>
      </c>
      <c r="J147" t="str">
        <f>IFERROR(MATCH(139,'Прайс и заказ'!$N$7:$N$146,0)+6,0)</f>
      </c>
      <c r="L147" t="str">
        <f>IF($J147=0,"",IF(INDEX('Прайс и заказ'!Q:Q,$J147)="","",INDEX('Прайс и заказ'!Q:Q,$J147)))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147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533</v>
      </c>
    </row>
    <row r="2" spans="1:6">
      <c r="A2" t="s">
        <v>534</v>
      </c>
    </row>
    <row r="3" spans="1:6">
      <c r="A3" t="s">
        <v>535</v>
      </c>
    </row>
    <row r="4" spans="1:6">
      <c r="A4" t="s">
        <v>536</v>
      </c>
    </row>
    <row r="5" spans="1:6">
      <c r="A5" t="s">
        <v>537</v>
      </c>
      <c r="B5" t="s">
        <v>538</v>
      </c>
      <c r="C5" t="s">
        <v>539</v>
      </c>
      <c r="D5" t="s">
        <v>540</v>
      </c>
    </row>
    <row r="6" spans="1:6">
      <c r="A6" t="s">
        <v>541</v>
      </c>
      <c r="B6" t="s">
        <v>542</v>
      </c>
      <c r="C6" t="s">
        <v>543</v>
      </c>
      <c r="D6" t="s">
        <v>544</v>
      </c>
      <c r="E6" t="s">
        <v>545</v>
      </c>
      <c r="F6" t="s">
        <v>546</v>
      </c>
    </row>
    <row r="7" spans="1:6">
      <c r="A7" t="s">
        <v>547</v>
      </c>
      <c r="B7">
        <v>6</v>
      </c>
      <c r="C7" t="s">
        <v>548</v>
      </c>
      <c r="D7" t="s">
        <v>549</v>
      </c>
      <c r="E7" t="s">
        <v>550</v>
      </c>
      <c r="F7" t="s">
        <v>551</v>
      </c>
    </row>
    <row r="8" spans="1:6">
      <c r="A8" t="s">
        <v>552</v>
      </c>
      <c r="B8">
        <v>8</v>
      </c>
      <c r="C8" t="s">
        <v>553</v>
      </c>
      <c r="D8" t="s">
        <v>554</v>
      </c>
      <c r="E8" t="s">
        <v>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2026-10-01T19:40:30+04:00</dcterms:created>
  <dcterms:modified xsi:type="dcterms:W3CDTF">2026-10-01T19:40:30+04:00</dcterms:modified>
  <dc:title>Прайс-лист LavrPack — Декор и аксессуары — Искуственный цветок</dc:title>
  <dc:description>Сформировано на www.lavrpack.ru 01.10.2026 19:40</dc:description>
  <dc:subject/>
  <cp:keywords/>
  <cp:category/>
</cp:coreProperties>
</file>