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и заказ" sheetId="1" r:id="rId4"/>
    <sheet name="Ваш заказ" sheetId="2" r:id="rId5"/>
    <sheet name="_1С" sheetId="3" state="veryHidden" r:id="rId6"/>
  </sheets>
  <definedNames>
    <definedName name="_xlnm.Print_Titles" localSheetId="0">'Прайс и заказ'!$6:$6</definedName>
    <definedName name="_xlnm.Print_Titles" localSheetId="1">'Ваш заказ'!$8:$8</definedName>
    <definedName name="_xlnm.Print_Area" localSheetId="1">'Ваш заказ'!$A$1:$I$53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<sst xmlns="http://schemas.openxmlformats.org/spreadsheetml/2006/main" uniqueCount="221">
  <si>
    <t xml:space="preserve">   ·   Прайс-лист «Кашпо, вазоны — Вазоны» · 01.10.2026</t>
  </si>
  <si>
    <t>Компания</t>
  </si>
  <si>
    <t>Контактное лицо</t>
  </si>
  <si>
    <t>Телефон</t>
  </si>
  <si>
    <t>Город</t>
  </si>
  <si>
    <t>Комментарий</t>
  </si>
  <si>
    <t>Дата прайса</t>
  </si>
  <si>
    <t>01.10.2026 19:59</t>
  </si>
  <si>
    <t>Категория</t>
  </si>
  <si>
    <t>Кашпо, вазоны — Вазоны</t>
  </si>
  <si>
    <t>Источник</t>
  </si>
  <si>
    <t>https://www.lavrpack.ru</t>
  </si>
  <si>
    <t>Поиск по прайсу</t>
  </si>
  <si>
    <t>Заполните колонку «Заказать» — выбранные позиции сами соберутся на листе «Ваш заказ».
LavrPack · +7 (8482) 63-53-54 · 8 (800) 444-26-45 · www.lavrpack.ru</t>
  </si>
  <si>
    <t>Фото</t>
  </si>
  <si>
    <t>Артикул</t>
  </si>
  <si>
    <t>Товар</t>
  </si>
  <si>
    <t>Цвет / вариант</t>
  </si>
  <si>
    <t>Размер / характеристика</t>
  </si>
  <si>
    <t>Ед.</t>
  </si>
  <si>
    <t>В коробке</t>
  </si>
  <si>
    <t>Опт, с НДС</t>
  </si>
  <si>
    <t>В наличии</t>
  </si>
  <si>
    <t>Заказать</t>
  </si>
  <si>
    <t>Сумма</t>
  </si>
  <si>
    <t>Вазоны — 47 поз.</t>
  </si>
  <si>
    <t>38e7d8a3-a8f9-11f0-ab48-22344d083d2c#75fc7bb2-84cb-11f1-ab51-22344d083d2c</t>
  </si>
  <si>
    <t>115392</t>
  </si>
  <si>
    <t>Акриловая ваза для цветов , D15*H25см (серый/832)</t>
  </si>
  <si>
    <t>38e7d8a3-a8f9-11f0-ab48-22344d083d2c#8929b39e-84cb-11f1-ab51-22344d083d2c</t>
  </si>
  <si>
    <t>Акриловая ваза для цветов , D15*H35см (прозрачный/836)</t>
  </si>
  <si>
    <t>38e7d8a3-a8f9-11f0-ab48-22344d083d2c#9d122479-84cb-11f1-ab51-22344d083d2c</t>
  </si>
  <si>
    <t>Акриловая ваза для цветов , D15*H35см (серый/836)</t>
  </si>
  <si>
    <t>38e7d8a3-a8f9-11f0-ab48-22344d083d2c#b2ddae49-84cb-11f1-ab51-22344d083d2c</t>
  </si>
  <si>
    <t>Акриловая ваза для цветов , D15*H40см (прозрачный/834)</t>
  </si>
  <si>
    <t>38e7d8a3-a8f9-11f0-ab48-22344d083d2c#bfeae8b2-84cb-11f1-ab51-22344d083d2c</t>
  </si>
  <si>
    <t>Акриловая ваза для цветов , D15*H40см (серый/834)</t>
  </si>
  <si>
    <t>38e7d8a3-a8f9-11f0-ab48-22344d083d2c#4bb318da-a53a-11f1-ab51-22344d083d2c</t>
  </si>
  <si>
    <t>Акриловая ваза для цветов , D15*H50см (прозрачный)</t>
  </si>
  <si>
    <t>38e7d8a3-a8f9-11f0-ab48-22344d083d2c#5ab23471-a53a-11f1-ab51-22344d083d2c</t>
  </si>
  <si>
    <t>Акриловая ваза для цветов , D15*H60см (прозрачный)</t>
  </si>
  <si>
    <t>38e7d8a3-a8f9-11f0-ab48-22344d083d2c#9faa7cba-a8f9-11f0-ab48-22344d083d2c</t>
  </si>
  <si>
    <t>Акриловая ваза для цветов , D20*H30см</t>
  </si>
  <si>
    <t>38e7d8a3-a8f9-11f0-ab48-22344d083d2c#da92bba6-84cb-11f1-ab51-22344d083d2c</t>
  </si>
  <si>
    <t>Акриловая ваза для цветов , D20*H40см (прозрачный/865)</t>
  </si>
  <si>
    <t>38e7d8a3-a8f9-11f0-ab48-22344d083d2c#ecfaf5fb-84cb-11f1-ab51-22344d083d2c</t>
  </si>
  <si>
    <t>Акриловая ваза для цветов , D20*H40см (серый/865)</t>
  </si>
  <si>
    <t>496c19e7-7f2d-11ec-b73f-0018e40a3af2</t>
  </si>
  <si>
    <t>68307</t>
  </si>
  <si>
    <t>Ваза</t>
  </si>
  <si>
    <t>Россия</t>
  </si>
  <si>
    <t>"Флавия" H42×D19.7см., 5л. черный</t>
  </si>
  <si>
    <t>https://www.lavrpack.ru/local/templates/phoenix_v1/images_cache/thumbs/32532841351e5dae8a633595572f1308.webp?v=1790865319</t>
  </si>
  <si>
    <t>49aedceb-7f2c-11ec-b73f-0018e40a3af2</t>
  </si>
  <si>
    <t>68309</t>
  </si>
  <si>
    <t>"Флавия" H52×D27см., 12л. белый</t>
  </si>
  <si>
    <t>https://www.lavrpack.ru/local/templates/phoenix_v1/images_cache/thumbs/5d7fcbbb7c8cd4d62b12c76c3638080b.webp?v=1790788476</t>
  </si>
  <si>
    <t>5b734929-7f2d-11ec-b73f-0018e40a3af2</t>
  </si>
  <si>
    <t>68325</t>
  </si>
  <si>
    <t>"Флавия" H52×D27см., 12л. черный</t>
  </si>
  <si>
    <t>https://www.lavrpack.ru/local/templates/phoenix_v1/images_cache/thumbs/6c33ba9f48b4a0d84b286b275eaf87f8.webp?v=1790788476</t>
  </si>
  <si>
    <t>57d661ef-a8fd-11f0-ab48-22344d083d2c#7734e7fc-a992-11f0-ab48-22344d083d2c</t>
  </si>
  <si>
    <t>115396</t>
  </si>
  <si>
    <t>Ваза для цветов (квадратная), H23*13/D11см</t>
  </si>
  <si>
    <t>https://www.lavrpack.ru/local/templates/phoenix_v1/images_cache/thumbs/3f4fa6edcc3fede140e9891593be00d3.webp?v=1790788476</t>
  </si>
  <si>
    <t>57d661ef-a8fd-11f0-ab48-22344d083d2c#726ae1e8-a8fd-11f0-ab48-22344d083d2c</t>
  </si>
  <si>
    <t>Ваза для цветов (квадратная), H29*15/D12см (822)</t>
  </si>
  <si>
    <t>https://www.lavrpack.ru/local/templates/phoenix_v1/images_cache/thumbs/5252e256e8749255aad7d93296284a94.webp?v=1790788476</t>
  </si>
  <si>
    <t>57d661ef-a8fd-11f0-ab48-22344d083d2c#ea123d8a-84cc-11f1-ab51-22344d083d2c</t>
  </si>
  <si>
    <t>Ваза для цветов (квадратная), H37*18,5/D13</t>
  </si>
  <si>
    <t>(823)</t>
  </si>
  <si>
    <t>5см</t>
  </si>
  <si>
    <t>1fe55b87-a8fa-11f0-ab48-22344d083d2c#67dd007e-a8fa-11f0-ab48-22344d083d2c</t>
  </si>
  <si>
    <t>115393</t>
  </si>
  <si>
    <t>Ваза для цветов акриловая (круглая), H24,5*D16/D11</t>
  </si>
  <si>
    <t>(824)</t>
  </si>
  <si>
    <t>1fe55b87-a8fa-11f0-ab48-22344d083d2c#8e99aa0d-a8fa-11f0-ab48-22344d083d2c</t>
  </si>
  <si>
    <t>Ваза для цветов акриловая (круглая), H30,5*D18/D13см (825)</t>
  </si>
  <si>
    <t>https://www.lavrpack.ru/local/templates/phoenix_v1/images_cache/thumbs/617a072382468c20617ac3d727bd7fec.webp?v=1790788476</t>
  </si>
  <si>
    <t>1fe55b87-a8fa-11f0-ab48-22344d083d2c#80edb350-a8fa-11f0-ab48-22344d083d2c</t>
  </si>
  <si>
    <t>Ваза для цветов акриловая (круглая), H38*D21/D16см (826)</t>
  </si>
  <si>
    <t>https://www.lavrpack.ru/local/templates/phoenix_v1/images_cache/thumbs/87271dda181dc23330afdf453761c28c.webp?v=1790788476</t>
  </si>
  <si>
    <t>35826152-643d-11ee-bc2f-00e01a6800eb</t>
  </si>
  <si>
    <t>104334</t>
  </si>
  <si>
    <t>Ваза пластиковая</t>
  </si>
  <si>
    <t>(цилиндр), 883</t>
  </si>
  <si>
    <t>14см×30см</t>
  </si>
  <si>
    <t>https://www.lavrpack.ru/local/templates/phoenix_v1/images_cache/thumbs/630fd3eb00397857c50ef3aee1d06d83.webp?v=1790839573</t>
  </si>
  <si>
    <t>44d7930e-6410-11ee-bc2f-00e01a6800eb</t>
  </si>
  <si>
    <t>104294</t>
  </si>
  <si>
    <t>(квадрат), ХНТ-3</t>
  </si>
  <si>
    <t>16см×27,5см</t>
  </si>
  <si>
    <t>https://www.lavrpack.ru/local/templates/phoenix_v1/images_cache/thumbs/94265832151fa75145d370a674d25f87.webp?v=1790832077</t>
  </si>
  <si>
    <t>a7b621fe-643d-11ee-bc2f-00e01a6800eb</t>
  </si>
  <si>
    <t>104335</t>
  </si>
  <si>
    <t>(цилиндр), 884</t>
  </si>
  <si>
    <t>16см×40см</t>
  </si>
  <si>
    <t>https://www.lavrpack.ru/local/templates/phoenix_v1/images_cache/thumbs/90eeec87c11967a2f8ba2c0842a0ca81.webp?v=1790788476</t>
  </si>
  <si>
    <t>911364d1-6440-11ee-bc2f-00e01a6800eb</t>
  </si>
  <si>
    <t>104337</t>
  </si>
  <si>
    <t>(квадрат), ХНТ-4</t>
  </si>
  <si>
    <t>17.5см×34.5см</t>
  </si>
  <si>
    <t>https://www.lavrpack.ru/local/templates/phoenix_v1/images_cache/thumbs/13b8a435d0c8afed03358b3517fe393f.webp?v=1790832077</t>
  </si>
  <si>
    <t>01cb34cd-643e-11ee-bc2f-00e01a6800eb</t>
  </si>
  <si>
    <t>104336</t>
  </si>
  <si>
    <t>(цилиндр), 885</t>
  </si>
  <si>
    <t>18см×50см</t>
  </si>
  <si>
    <t>https://www.lavrpack.ru/local/templates/phoenix_v1/images_cache/thumbs/bcaa45526fd97581d42f6d0d73aa7cb4.webp?v=1790788476</t>
  </si>
  <si>
    <t>f1492208-6440-11ee-bc2f-00e01a6800eb</t>
  </si>
  <si>
    <t>104338</t>
  </si>
  <si>
    <t>(квадрат), ХНТ-5</t>
  </si>
  <si>
    <t>20см×44см</t>
  </si>
  <si>
    <t>https://www.lavrpack.ru/local/templates/phoenix_v1/images_cache/thumbs/023709b20c65f104d30953eb1a759bea.webp?v=1790832077</t>
  </si>
  <si>
    <t>3eb52b13-03af-11ef-9f05-00e01a6800eb#44c06997-03af-11ef-9f05-00e01a6800eb</t>
  </si>
  <si>
    <t>107407</t>
  </si>
  <si>
    <t>Вазон металлический "Ведро" D13*9,5*H12см (STG113), Белый</t>
  </si>
  <si>
    <t>https://www.lavrpack.ru/local/templates/phoenix_v1/images_cache/thumbs/20b6cb5ddccf1d5533a33cdfb8c4d565.webp?v=1790828461</t>
  </si>
  <si>
    <t>3eb52b13-03af-11ef-9f05-00e01a6800eb#5d98c660-03af-11ef-9f05-00e01a6800eb</t>
  </si>
  <si>
    <t>Вазон металлический "Ведро" D13*9,5*H12см (STG113), Голубой</t>
  </si>
  <si>
    <t>https://www.lavrpack.ru/local/templates/phoenix_v1/images_cache/thumbs/7a0c214534d8e77a70957791497f6d09.webp?v=1790828461</t>
  </si>
  <si>
    <t>3eb52b13-03af-11ef-9f05-00e01a6800eb#561c92a4-03af-11ef-9f05-00e01a6800eb</t>
  </si>
  <si>
    <t>Вазон металлический "Ведро" D13*9,5*H12см (STG113), Желтый</t>
  </si>
  <si>
    <t>https://www.lavrpack.ru/local/templates/phoenix_v1/images_cache/thumbs/b3aa80fc71ea813029a98f49f755ea6f.webp?v=1790828461</t>
  </si>
  <si>
    <t>3eb52b13-03af-11ef-9f05-00e01a6800eb#4f6d153f-03af-11ef-9f05-00e01a6800eb</t>
  </si>
  <si>
    <t>Вазон металлический "Ведро" D13*9,5*H12см (STG113), Розовый</t>
  </si>
  <si>
    <t>https://www.lavrpack.ru/local/templates/phoenix_v1/images_cache/thumbs/a4935c8594c6916bdb0dab3bcd1a3c60.webp?v=1790828461</t>
  </si>
  <si>
    <t>1a87b336-03b5-11ef-9f05-00e01a6800eb#348bfd75-03b5-11ef-9f05-00e01a6800eb</t>
  </si>
  <si>
    <t>107411</t>
  </si>
  <si>
    <t>Вазон металлический "Цветочный горшок" D10*7,5*H10см, Белый (STH23391)</t>
  </si>
  <si>
    <t>https://www.lavrpack.ru/local/templates/phoenix_v1/images_cache/thumbs/37ed59ca9eb7a762762e1e7d90319976.webp?v=1790828461</t>
  </si>
  <si>
    <t>1a87b336-03b5-11ef-9f05-00e01a6800eb#254045e2-03b5-11ef-9f05-00e01a6800eb</t>
  </si>
  <si>
    <t>Вазон металлический "Цветочный горшок" D10*7,5*H10см, Зеленый (STH23393)</t>
  </si>
  <si>
    <t>https://www.lavrpack.ru/local/templates/phoenix_v1/images_cache/thumbs/46be3eddb1852eccc399aa33781afdda.webp?v=1790788476</t>
  </si>
  <si>
    <t>1a87b336-03b5-11ef-9f05-00e01a6800eb#469389a8-03b5-11ef-9f05-00e01a6800eb</t>
  </si>
  <si>
    <t>Вазон металлический "Цветочный горшок" D10*7,5*H10см, Фуксия (STH23392)</t>
  </si>
  <si>
    <t>https://www.lavrpack.ru/local/templates/phoenix_v1/images_cache/thumbs/eaa6e0e1dab2aeae3a6fb63154ea56f8.webp?v=1790828461</t>
  </si>
  <si>
    <t>a5633da7-03b3-11ef-9f05-00e01a6800eb#b789bbaa-03b3-11ef-9f05-00e01a6800eb</t>
  </si>
  <si>
    <t>107410</t>
  </si>
  <si>
    <t>Вазон металлический "Garden" (STG627-Y), D15*10*H25см</t>
  </si>
  <si>
    <t>https://www.lavrpack.ru/local/templates/phoenix_v1/images_cache/thumbs/1780d93b2719c2ae49bda3cf5d79d3bc.webp?v=1790828461</t>
  </si>
  <si>
    <t>a5633da7-03b3-11ef-9f05-00e01a6800eb#16a4362e-03b4-11ef-9f05-00e01a6800eb</t>
  </si>
  <si>
    <t>Вазон металлический "Garden" (STG627-Y), D18*12*H30см</t>
  </si>
  <si>
    <t>https://www.lavrpack.ru/local/templates/phoenix_v1/images_cache/thumbs/f59a83ddebf4fbfdcc6d5c167f74a081.webp?v=1790828461</t>
  </si>
  <si>
    <t>a5633da7-03b3-11ef-9f05-00e01a6800eb#21f2bf69-03b4-11ef-9f05-00e01a6800eb</t>
  </si>
  <si>
    <t>Вазон металлический "Garden" (STG627-Y), D20*14*H35см</t>
  </si>
  <si>
    <t>https://www.lavrpack.ru/local/templates/phoenix_v1/images_cache/thumbs/b1a0b1d71fae01487e58f1a44d1fe159.webp?v=1790828461</t>
  </si>
  <si>
    <t>a5633da7-03b3-11ef-9f05-00e01a6800eb#2bfb2c31-03b4-11ef-9f05-00e01a6800eb</t>
  </si>
  <si>
    <t>Вазон металлический "Garden" (STG627-Y), D20*14*H40см</t>
  </si>
  <si>
    <t>https://www.lavrpack.ru/local/templates/phoenix_v1/images_cache/thumbs/d67016b805abc2725940a1d7862cb18f.webp?v=1790828461</t>
  </si>
  <si>
    <t>b7fa4955-a993-11f0-ab48-22344d083d2c#311ec8b3-a994-11f0-ab48-22344d083d2c</t>
  </si>
  <si>
    <t>115404</t>
  </si>
  <si>
    <t>Вазон металлический без ручек, D15,4*H16см</t>
  </si>
  <si>
    <t>https://www.lavrpack.ru/local/templates/phoenix_v1/images_cache/thumbs/fe28aba75c475f40210101a172034b9c.webp?v=1790788476</t>
  </si>
  <si>
    <t>e14fc659-03b1-11ef-9f05-00e01a6800eb#69fa87e3-03b2-11ef-9f05-00e01a6800eb</t>
  </si>
  <si>
    <t>107409</t>
  </si>
  <si>
    <t>Вазон металлический D14*10*H21</t>
  </si>
  <si>
    <t>Голубой (STG606)</t>
  </si>
  <si>
    <t>5см,</t>
  </si>
  <si>
    <t>https://www.lavrpack.ru/local/templates/phoenix_v1/images_cache/thumbs/8f6f5e3bbcecd39f65aabbe73e3e1831.webp?v=1790788476</t>
  </si>
  <si>
    <t>e14fc659-03b1-11ef-9f05-00e01a6800eb#3ef6ea31-03b2-11ef-9f05-00e01a6800eb</t>
  </si>
  <si>
    <t>Белый (STG603)</t>
  </si>
  <si>
    <t>https://www.lavrpack.ru/local/templates/phoenix_v1/images_cache/thumbs/75b4941b5570e0b0f1f09b1baa673033.webp?v=1790828461</t>
  </si>
  <si>
    <t>e14fc659-03b1-11ef-9f05-00e01a6800eb#180385ce-03b2-11ef-9f05-00e01a6800eb</t>
  </si>
  <si>
    <t>STG602</t>
  </si>
  <si>
    <t>https://www.lavrpack.ru/local/templates/phoenix_v1/images_cache/thumbs/efd745a5b8de73f988b0516df70960c1.webp?v=1790828461</t>
  </si>
  <si>
    <t>e14fc659-03b1-11ef-9f05-00e01a6800eb#4f7351f7-03b2-11ef-9f05-00e01a6800eb</t>
  </si>
  <si>
    <t>Розовый (STG604)</t>
  </si>
  <si>
    <t>https://www.lavrpack.ru/local/templates/phoenix_v1/images_cache/thumbs/2d34dddd607ea61e548aaf38325fa6cb.webp?v=1790828461</t>
  </si>
  <si>
    <t>e14fc659-03b1-11ef-9f05-00e01a6800eb#6154c816-03b2-11ef-9f05-00e01a6800eb</t>
  </si>
  <si>
    <t>Крем (STG605)</t>
  </si>
  <si>
    <t>https://www.lavrpack.ru/local/templates/phoenix_v1/images_cache/thumbs/8cab64137e2ca7258c89ef652563af71.webp?v=1790828461</t>
  </si>
  <si>
    <t>6858fb15-03b0-11ef-9f05-00e01a6800eb#85d2c54a-03b0-11ef-9f05-00e01a6800eb</t>
  </si>
  <si>
    <t>107408</t>
  </si>
  <si>
    <t>Вазон металлический D16,5*10,5*H28см, Белый (STG603)</t>
  </si>
  <si>
    <t>https://www.lavrpack.ru/local/templates/phoenix_v1/images_cache/thumbs/b13d86f02492b2ddcd3f6f712f256008.webp?v=1790828461</t>
  </si>
  <si>
    <t>6858fb15-03b0-11ef-9f05-00e01a6800eb#c1d35502-03b0-11ef-9f05-00e01a6800eb</t>
  </si>
  <si>
    <t>Вазон металлический D16,5*10,5*H28см, Голубой (STG606)</t>
  </si>
  <si>
    <t>https://www.lavrpack.ru/local/templates/phoenix_v1/images_cache/thumbs/6cc0f52d5bf791614d22d7975d6391b2.webp?v=1790828461</t>
  </si>
  <si>
    <t>6858fb15-03b0-11ef-9f05-00e01a6800eb#adefb5bc-03b0-11ef-9f05-00e01a6800eb</t>
  </si>
  <si>
    <t>Вазон металлический D16,5*10,5*H28см, Крем (STG605)</t>
  </si>
  <si>
    <t>https://www.lavrpack.ru/local/templates/phoenix_v1/images_cache/thumbs/88fe6b76ec6c30340e2cff83a3c3f383.webp?v=1790828461</t>
  </si>
  <si>
    <t>6858fb15-03b0-11ef-9f05-00e01a6800eb#9b842fce-03b0-11ef-9f05-00e01a6800eb</t>
  </si>
  <si>
    <t>Вазон металлический D16,5*10,5*H28см, Розовый (STG604)</t>
  </si>
  <si>
    <t>https://www.lavrpack.ru/local/templates/phoenix_v1/images_cache/thumbs/e5a19ccd909bc08bc7ea8f467c5ad5b7.webp?v=1790788476</t>
  </si>
  <si>
    <t>6858fb15-03b0-11ef-9f05-00e01a6800eb#7873ca84-03b0-11ef-9f05-00e01a6800eb</t>
  </si>
  <si>
    <t>Вазон металлический D16,5*10,5*H28см, STG602</t>
  </si>
  <si>
    <t>https://www.lavrpack.ru/local/templates/phoenix_v1/images_cache/thumbs/a8410cfcdef3d21ea231b30be33ad93a.webp?v=1790828461</t>
  </si>
  <si>
    <t>Выбрано позиций</t>
  </si>
  <si>
    <t>Общее количество</t>
  </si>
  <si>
    <t>Сумма заказа</t>
  </si>
  <si>
    <t>служебная</t>
  </si>
  <si>
    <t>UUID</t>
  </si>
  <si>
    <t>ИД_1С</t>
  </si>
  <si>
    <t>К1С</t>
  </si>
  <si>
    <t xml:space="preserve"> · Ваш заказ</t>
  </si>
  <si>
    <t>Здесь автоматически отображаются только позиции, в которых на листе «Прайс и заказ» указано количество. Лист обновляется сам — ничего копировать не нужно.</t>
  </si>
  <si>
    <t>Итого позиций</t>
  </si>
  <si>
    <t>Цена опт, с НДС</t>
  </si>
  <si>
    <t>LP-ORDER-1</t>
  </si>
  <si>
    <t>Дата выгрузки: 2026-10-01 19:59</t>
  </si>
  <si>
    <t>Тип цены: опт</t>
  </si>
  <si>
    <t>Раздел: Кашпо, вазоны</t>
  </si>
  <si>
    <t>id_format</t>
  </si>
  <si>
    <t>GUID | GUID#GUID</t>
  </si>
  <si>
    <t>id_sep</t>
  </si>
  <si>
    <t>#</t>
  </si>
  <si>
    <t>Лист</t>
  </si>
  <si>
    <t>СтрокаЗаголовков</t>
  </si>
  <si>
    <t>КолИД1С</t>
  </si>
  <si>
    <t>КолКоличество</t>
  </si>
  <si>
    <t>КолЦена</t>
  </si>
  <si>
    <t>КолМножитель</t>
  </si>
  <si>
    <t>Прайс и заказ</t>
  </si>
  <si>
    <t>Q</t>
  </si>
  <si>
    <t>K</t>
  </si>
  <si>
    <t>I</t>
  </si>
  <si>
    <t>R</t>
  </si>
  <si>
    <t>Ваш заказ</t>
  </si>
  <si>
    <t>L</t>
  </si>
  <si>
    <t>G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</si>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</sst>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,##0.00\ &quot;₽&quot;"/>
  </numFmts>
  <fonts count="16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E8E9EA"/>
      <name val="Arial"/>
    </font>
    <font>
      <b val="0"/>
      <i val="0"/>
      <strike val="0"/>
      <u val="none"/>
      <sz val="9"/>
      <color rgb="FF5D6065"/>
      <name val="Arial"/>
    </font>
    <font>
      <b val="1"/>
      <i val="0"/>
      <strike val="0"/>
      <u val="none"/>
      <sz val="9.5"/>
      <color rgb="FF000000"/>
      <name val="Arial"/>
    </font>
    <font>
      <b val="1"/>
      <i val="0"/>
      <strike val="0"/>
      <u val="none"/>
      <sz val="10.5"/>
      <color rgb="FF000000"/>
      <name val="Arial"/>
    </font>
    <font>
      <b val="1"/>
      <i val="0"/>
      <strike val="0"/>
      <u val="none"/>
      <sz val="9.5"/>
      <color rgb="FFFFFFFF"/>
      <name val="Arial"/>
    </font>
    <font>
      <b val="0"/>
      <i val="0"/>
      <strike val="0"/>
      <u val="single"/>
      <sz val="10"/>
      <color rgb="FF913B58"/>
      <name val="Arial"/>
    </font>
    <font>
      <b val="1"/>
      <i val="0"/>
      <strike val="0"/>
      <u val="none"/>
      <sz val="10.5"/>
      <color rgb="FF913B58"/>
      <name val="Arial"/>
    </font>
    <font>
      <b val="1"/>
      <i val="0"/>
      <strike val="0"/>
      <u val="single"/>
      <sz val="10.5"/>
      <color rgb="FF913B58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913B58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0"/>
      <i val="0"/>
      <strike val="0"/>
      <u val="none"/>
      <sz val="9.5"/>
      <color rgb="FF5D6065"/>
      <name val="Arial"/>
    </font>
    <font>
      <b val="0"/>
      <i val="1"/>
      <strike val="0"/>
      <u val="none"/>
      <sz val="9"/>
      <color rgb="FF5D6065"/>
      <name val="Arial"/>
    </font>
  </fonts>
  <fills count="6">
    <fill>
      <patternFill patternType="none"/>
    </fill>
    <fill>
      <patternFill patternType="gray125"/>
    </fill>
    <fill>
      <patternFill patternType="solid">
        <fgColor rgb="FF393C41"/>
        <bgColor rgb="FF000000"/>
      </patternFill>
    </fill>
    <fill>
      <patternFill patternType="solid">
        <fgColor rgb="FFF3DEE5"/>
        <bgColor rgb="FF000000"/>
      </patternFill>
    </fill>
    <fill>
      <patternFill patternType="solid">
        <fgColor rgb="FFF5E5EC"/>
        <bgColor rgb="FF000000"/>
      </patternFill>
    </fill>
    <fill>
      <patternFill patternType="solid">
        <fgColor rgb="FFFFF9E6"/>
        <bgColor rgb="FF000000"/>
      </patternFill>
    </fill>
  </fills>
  <borders count="14">
    <border>
      <left/>
      <right/>
      <top/>
      <bottom/>
      <diagonal/>
    </border>
    <border>
      <left style="thin">
        <color rgb="FFE5E4E0"/>
      </left>
      <right/>
      <top style="thin">
        <color rgb="FFE5E4E0"/>
      </top>
      <bottom/>
      <diagonal/>
    </border>
    <border>
      <left style="thin">
        <color rgb="FFE5E4E0"/>
      </left>
      <right/>
      <top/>
      <bottom/>
      <diagonal/>
    </border>
    <border>
      <left style="thin">
        <color rgb="FFE5E4E0"/>
      </left>
      <right/>
      <top/>
      <bottom style="thin">
        <color rgb="FFE5E4E0"/>
      </bottom>
      <diagonal/>
    </border>
    <border>
      <left/>
      <right/>
      <top style="thin">
        <color rgb="FFE5E4E0"/>
      </top>
      <bottom/>
      <diagonal/>
    </border>
    <border>
      <left/>
      <right/>
      <top/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/>
      <diagonal/>
    </border>
    <border>
      <left/>
      <right style="thin">
        <color rgb="FFE5E4E0"/>
      </right>
      <top/>
      <bottom/>
      <diagonal/>
    </border>
    <border>
      <left/>
      <right style="thin">
        <color rgb="FFE5E4E0"/>
      </right>
      <top/>
      <bottom style="thin">
        <color rgb="FFE5E4E0"/>
      </bottom>
      <diagonal/>
    </border>
    <border>
      <left style="hair">
        <color rgb="FFE5E4E0"/>
      </left>
      <right style="hair">
        <color rgb="FFE5E4E0"/>
      </right>
      <top style="hair">
        <color rgb="FFE5E4E0"/>
      </top>
      <bottom style="hair">
        <color rgb="FFE5E4E0"/>
      </bottom>
      <diagonal/>
    </border>
    <border>
      <left style="thin">
        <color rgb="FFE5E4E0"/>
      </left>
      <right/>
      <top style="thin">
        <color rgb="FFE5E4E0"/>
      </top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 style="thin">
        <color rgb="FFE5E4E0"/>
      </bottom>
      <diagonal/>
    </border>
    <border>
      <left style="thin">
        <color rgb="FFE5E4E0"/>
      </left>
      <right style="thin">
        <color rgb="FFE5E4E0"/>
      </right>
      <top style="thin">
        <color rgb="FFE5E4E0"/>
      </top>
      <bottom style="thin">
        <color rgb="FFE5E4E0"/>
      </bottom>
      <diagonal/>
    </border>
    <border>
      <left/>
      <right/>
      <top style="thin">
        <color rgb="FFE5E4E0"/>
      </top>
      <bottom style="thin">
        <color rgb="FFE5E4E0"/>
      </bottom>
      <diagonal/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 indent="6"/>
    </xf>
    <xf xfId="0" fontId="2" numFmtId="0" fillId="0" borderId="1" applyFont="1" applyNumberFormat="0" applyFill="0" applyBorder="1" applyAlignment="1">
      <alignment vertical="center" textRotation="0" wrapText="true" shrinkToFit="false" indent="1"/>
    </xf>
    <xf xfId="0" fontId="2" numFmtId="0" fillId="0" borderId="2" applyFont="1" applyNumberFormat="0" applyFill="0" applyBorder="1" applyAlignment="1">
      <alignment vertical="center" textRotation="0" wrapText="true" shrinkToFit="false" indent="1"/>
    </xf>
    <xf xfId="0" fontId="2" numFmtId="0" fillId="0" borderId="3" applyFont="1" applyNumberFormat="0" applyFill="0" applyBorder="1" applyAlignment="1">
      <alignment vertical="center" textRotation="0" wrapText="true" shrinkToFit="false" indent="1"/>
    </xf>
    <xf xfId="0" fontId="2" numFmtId="0" fillId="0" borderId="4" applyFont="1" applyNumberFormat="0" applyFill="0" applyBorder="1" applyAlignment="1">
      <alignment vertical="center" textRotation="0" wrapText="true" shrinkToFit="false" indent="1"/>
    </xf>
    <xf xfId="0" fontId="2" numFmtId="0" fillId="0" borderId="0" applyFont="1" applyNumberFormat="0" applyFill="0" applyBorder="0" applyAlignment="1">
      <alignment vertical="center" textRotation="0" wrapText="true" shrinkToFit="false" indent="1"/>
    </xf>
    <xf xfId="0" fontId="2" numFmtId="0" fillId="0" borderId="5" applyFont="1" applyNumberFormat="0" applyFill="0" applyBorder="1" applyAlignment="1">
      <alignment vertical="center" textRotation="0" wrapText="true" shrinkToFit="false" indent="1"/>
    </xf>
    <xf xfId="0" fontId="2" numFmtId="0" fillId="0" borderId="6" applyFont="1" applyNumberFormat="0" applyFill="0" applyBorder="1" applyAlignment="1">
      <alignment vertical="center" textRotation="0" wrapText="true" shrinkToFit="false" indent="1"/>
    </xf>
    <xf xfId="0" fontId="2" numFmtId="0" fillId="0" borderId="7" applyFont="1" applyNumberFormat="0" applyFill="0" applyBorder="1" applyAlignment="1">
      <alignment vertical="center" textRotation="0" wrapText="true" shrinkToFit="false" indent="1"/>
    </xf>
    <xf xfId="0" fontId="2" numFmtId="0" fillId="0" borderId="8" applyFont="1" applyNumberFormat="0" applyFill="0" applyBorder="1" applyAlignment="1">
      <alignment vertical="center" textRotation="0" wrapText="true" shrinkToFit="false" indent="1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vertical="center" textRotation="0" wrapText="false" shrinkToFit="false"/>
    </xf>
    <xf xfId="0" fontId="0" numFmtId="0" fillId="0" borderId="9" applyFont="0" applyNumberFormat="0" applyFill="0" applyBorder="1" applyAlignment="1">
      <alignment vertical="center" textRotation="0" wrapText="true" shrinkToFit="false"/>
    </xf>
    <xf xfId="0" fontId="6" numFmtId="0" fillId="0" borderId="9" applyFont="1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0" numFmtId="3" fillId="0" borderId="9" applyFont="0" applyNumberFormat="1" applyFill="0" applyBorder="1" applyAlignment="1">
      <alignment horizontal="center" vertical="center" textRotation="0" wrapText="false" shrinkToFit="false"/>
    </xf>
    <xf xfId="0" fontId="0" numFmtId="164" fillId="0" borderId="9" applyFont="0" applyNumberFormat="1" applyFill="0" applyBorder="1" applyAlignment="1">
      <alignment vertical="center" textRotation="0" wrapText="false" shrinkToFit="false"/>
    </xf>
    <xf xfId="0" fontId="0" numFmtId="3" fillId="0" borderId="9" applyFont="0" applyNumberFormat="1" applyFill="0" applyBorder="1" applyAlignment="1">
      <alignment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false" shrinkToFit="false" indent="1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true" shrinkToFit="false" indent="1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3" fillId="3" borderId="9" applyFont="1" applyNumberFormat="1" applyFill="1" applyBorder="1" applyAlignment="1">
      <alignment horizontal="center" vertical="center" textRotation="0" wrapText="false" shrinkToFit="false"/>
    </xf>
    <xf xfId="0" fontId="7" numFmtId="164" fillId="3" borderId="9" applyFont="1" applyNumberFormat="1" applyFill="1" applyBorder="1" applyAlignment="1">
      <alignment vertical="center" textRotation="0" wrapText="false" shrinkToFit="false" indent="1"/>
    </xf>
    <xf xfId="0" fontId="7" numFmtId="3" fillId="3" borderId="9" applyFont="1" applyNumberFormat="1" applyFill="1" applyBorder="1" applyAlignment="1">
      <alignment vertical="center" textRotation="0" wrapText="false" shrinkToFit="false" indent="1"/>
    </xf>
    <xf xfId="0" fontId="9" numFmtId="0" fillId="4" borderId="1" applyFont="1" applyNumberFormat="0" applyFill="1" applyBorder="1" applyAlignment="0"/>
    <xf xfId="0" fontId="9" numFmtId="0" fillId="4" borderId="2" applyFont="1" applyNumberFormat="0" applyFill="1" applyBorder="1" applyAlignment="0"/>
    <xf xfId="0" fontId="9" numFmtId="0" fillId="4" borderId="3" applyFont="1" applyNumberFormat="0" applyFill="1" applyBorder="1" applyAlignment="0"/>
    <xf xfId="0" fontId="0" numFmtId="0" fillId="4" borderId="4" applyFont="0" applyNumberFormat="0" applyFill="1" applyBorder="1" applyAlignment="0"/>
    <xf xfId="0" fontId="0" numFmtId="0" fillId="4" borderId="0" applyFont="0" applyNumberFormat="0" applyFill="1" applyBorder="0" applyAlignment="0"/>
    <xf xfId="0" fontId="0" numFmtId="0" fillId="4" borderId="5" applyFont="0" applyNumberFormat="0" applyFill="1" applyBorder="1" applyAlignment="0"/>
    <xf xfId="0" fontId="0" numFmtId="3" fillId="4" borderId="6" applyFont="0" applyNumberFormat="1" applyFill="1" applyBorder="1" applyAlignment="0"/>
    <xf xfId="0" fontId="0" numFmtId="3" fillId="4" borderId="7" applyFont="0" applyNumberFormat="1" applyFill="1" applyBorder="1" applyAlignment="0"/>
    <xf xfId="0" fontId="9" numFmtId="164" fillId="4" borderId="8" applyFont="1" applyNumberFormat="1" applyFill="1" applyBorder="1" applyAlignment="0"/>
    <xf xfId="0" fontId="10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0" numFmtId="0" fillId="5" borderId="10" applyFont="0" applyNumberFormat="0" applyFill="1" applyBorder="1" applyAlignment="1" applyProtection="true">
      <alignment vertical="center" textRotation="0" wrapText="false" shrinkToFit="false"/>
      <protection locked="false"/>
    </xf>
    <xf xfId="0" fontId="0" numFmtId="0" fillId="5" borderId="11" applyFont="0" applyNumberFormat="0" applyFill="1" applyBorder="1" applyAlignment="1" applyProtection="true">
      <alignment vertical="center" textRotation="0" wrapText="false" shrinkToFit="false"/>
      <protection locked="false"/>
    </xf>
    <xf xfId="0" fontId="12" numFmtId="0" fillId="5" borderId="1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3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4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5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6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8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7" numFmtId="3" fillId="3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9" numFmtId="3" fillId="5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7" numFmtId="0" fillId="3" borderId="9" applyFont="1" applyNumberFormat="0" applyFill="1" applyBorder="1" applyAlignment="1" applyProtection="true">
      <alignment vertical="center" textRotation="0" wrapText="true" shrinkToFit="false" indent="1"/>
      <protection locked="false"/>
    </xf>
    <xf xfId="0" fontId="0" numFmtId="0" fillId="0" borderId="9" applyFont="0" applyNumberFormat="0" applyFill="0" applyBorder="1" applyAlignment="1" applyProtection="true">
      <alignment vertical="center" textRotation="0" wrapText="true" shrinkToFit="false"/>
      <protection locked="false"/>
    </xf>
    <xf xfId="0" fontId="13" numFmtId="0" fillId="2" borderId="0" applyFont="1" applyNumberFormat="0" applyFill="1" applyBorder="0" applyAlignment="1">
      <alignment vertical="center" textRotation="0" wrapText="false" shrinkToFit="false" indent="6"/>
    </xf>
    <xf xfId="0" fontId="14" numFmtId="0" fillId="0" borderId="0" applyFont="1" applyNumberFormat="0" applyFill="0" applyBorder="0" applyAlignment="1">
      <alignment vertical="center" textRotation="0" wrapText="true" shrinkToFit="false" indent="1"/>
    </xf>
    <xf xfId="0" fontId="9" numFmtId="0" fillId="4" borderId="10" applyFont="1" applyNumberFormat="0" applyFill="1" applyBorder="1" applyAlignment="0"/>
    <xf xfId="0" fontId="0" numFmtId="0" fillId="4" borderId="13" applyFont="0" applyNumberFormat="0" applyFill="1" applyBorder="1" applyAlignment="0"/>
    <xf xfId="0" fontId="0" numFmtId="3" fillId="4" borderId="13" applyFont="0" applyNumberFormat="1" applyFill="1" applyBorder="1" applyAlignment="0"/>
    <xf xfId="0" fontId="9" numFmtId="0" fillId="4" borderId="13" applyFont="1" applyNumberFormat="0" applyFill="1" applyBorder="1" applyAlignment="0"/>
    <xf xfId="0" fontId="9" numFmtId="164" fillId="4" borderId="11" applyFont="1" applyNumberFormat="1" applyFill="1" applyBorder="1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1">
      <alignment vertical="center" textRotation="0" wrapText="false" shrinkToFit="false"/>
    </xf>
    <xf xfId="0" fontId="0" numFmtId="3" fillId="0" borderId="0" applyFont="0" applyNumberFormat="1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15" numFmtId="0" fillId="0" borderId="0" applyFont="1" applyNumberFormat="0" applyFill="0" applyBorder="0" applyAlignment="0"/>
  </cellXfs>
  <cellStyles count="1">
    <cellStyle name="Normal" xfId="0" builtinId="0"/>
  </cellStyles>
  <dxfs count="4">
    <dxf>
      <fill>
        <patternFill patternType="solid">
          <bgColor rgb="FFFFF1C2"/>
        </patternFill>
      </fill>
      <border/>
    </dxf>
    <dxf>
      <fill>
        <patternFill patternType="solid">
          <bgColor rgb="FFF5E5EC"/>
        </patternFill>
      </fill>
      <border/>
    </dxf>
    <dxf>
      <font>
        <color rgb="FFA9590A"/>
      </font>
      <fill>
        <patternFill patternType="solid">
          <bgColor rgb="FFFFF3E0"/>
        </patternFill>
      </fill>
      <border/>
    </dxf>
    <dxf>
      <fill>
        <patternFill patternType="solid">
          <bgColor rgb="FFF5E5EC"/>
        </patternFill>
      </fill>
      <border>
        <left style="hair">
          <color rgb="FFE5E4E0"/>
        </left>
        <right style="hair">
          <color rgb="FFE5E4E0"/>
        </right>
        <top style="hair">
          <color rgb="FFE5E4E0"/>
        </top>
        <bottom style="hair">
          <color rgb="FFE5E4E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Relationship Id="rId2" Type="http://schemas.openxmlformats.org/officeDocument/2006/relationships/image" Target="../media/6d5ce3741f087877c8b69ae735716fc9.jpg"/><Relationship Id="rId3" Type="http://schemas.openxmlformats.org/officeDocument/2006/relationships/image" Target="../media/6d5ce3741f087877c8b69ae735716fc9.jpg"/><Relationship Id="rId4" Type="http://schemas.openxmlformats.org/officeDocument/2006/relationships/image" Target="../media/6d5ce3741f087877c8b69ae735716fc9.jpg"/><Relationship Id="rId5" Type="http://schemas.openxmlformats.org/officeDocument/2006/relationships/image" Target="../media/6d5ce3741f087877c8b69ae735716fc9.jpg"/><Relationship Id="rId6" Type="http://schemas.openxmlformats.org/officeDocument/2006/relationships/image" Target="../media/6d5ce3741f087877c8b69ae735716fc9.jpg"/><Relationship Id="rId7" Type="http://schemas.openxmlformats.org/officeDocument/2006/relationships/image" Target="../media/6d5ce3741f087877c8b69ae735716fc9.jpg"/><Relationship Id="rId8" Type="http://schemas.openxmlformats.org/officeDocument/2006/relationships/image" Target="../media/6d5ce3741f087877c8b69ae735716fc9.jpg"/><Relationship Id="rId9" Type="http://schemas.openxmlformats.org/officeDocument/2006/relationships/image" Target="../media/6d5ce3741f087877c8b69ae735716fc9.jpg"/><Relationship Id="rId10" Type="http://schemas.openxmlformats.org/officeDocument/2006/relationships/image" Target="../media/6d5ce3741f087877c8b69ae735716fc9.jpg"/><Relationship Id="rId11" Type="http://schemas.openxmlformats.org/officeDocument/2006/relationships/image" Target="../media/6d5ce3741f087877c8b69ae735716fc9.jpg"/><Relationship Id="rId12" Type="http://schemas.openxmlformats.org/officeDocument/2006/relationships/image" Target="../media/aeec16324c935d6a0e44ef11966e7f44.jpg"/><Relationship Id="rId13" Type="http://schemas.openxmlformats.org/officeDocument/2006/relationships/image" Target="../media/1e5135887358564ef267689a7423ce45.jpg"/><Relationship Id="rId14" Type="http://schemas.openxmlformats.org/officeDocument/2006/relationships/image" Target="../media/5209a8c0960eeeeb776f05fe06f6140a.jpg"/><Relationship Id="rId15" Type="http://schemas.openxmlformats.org/officeDocument/2006/relationships/image" Target="../media/586422b55b74adf7609c5f013ea37265.jpg"/><Relationship Id="rId16" Type="http://schemas.openxmlformats.org/officeDocument/2006/relationships/image" Target="../media/80697a6faed10086c5e814052a4176c1.jpg"/><Relationship Id="rId17" Type="http://schemas.openxmlformats.org/officeDocument/2006/relationships/image" Target="../media/6d5ce3741f087877c8b69ae735716fc9.jpg"/><Relationship Id="rId18" Type="http://schemas.openxmlformats.org/officeDocument/2006/relationships/image" Target="../media/6d5ce3741f087877c8b69ae735716fc9.jpg"/><Relationship Id="rId19" Type="http://schemas.openxmlformats.org/officeDocument/2006/relationships/image" Target="../media/8a76bb60c6f2ca34481cf7a09c22c1bb.jpg"/><Relationship Id="rId20" Type="http://schemas.openxmlformats.org/officeDocument/2006/relationships/image" Target="../media/05dac3b358b40f0e7b897e6dd150a97f.jpg"/><Relationship Id="rId21" Type="http://schemas.openxmlformats.org/officeDocument/2006/relationships/image" Target="../media/e3a85bdeea625bde4433c571f181ae37.jpg"/><Relationship Id="rId22" Type="http://schemas.openxmlformats.org/officeDocument/2006/relationships/image" Target="../media/f3c2a151269fc8f19b3633024ace7f4b.jpg"/><Relationship Id="rId23" Type="http://schemas.openxmlformats.org/officeDocument/2006/relationships/image" Target="../media/4b6433f16df718a07e1e0b957d34f736.jpg"/><Relationship Id="rId24" Type="http://schemas.openxmlformats.org/officeDocument/2006/relationships/image" Target="../media/b0f7b8971119244446a4d537d5aa872c.jpg"/><Relationship Id="rId25" Type="http://schemas.openxmlformats.org/officeDocument/2006/relationships/image" Target="../media/8b516823255afc3f0ccc1c5727426b49.jpg"/><Relationship Id="rId26" Type="http://schemas.openxmlformats.org/officeDocument/2006/relationships/image" Target="../media/1d9da50708ee70daa2dde26b0e373d9c.jpg"/><Relationship Id="rId27" Type="http://schemas.openxmlformats.org/officeDocument/2006/relationships/image" Target="../media/af4a1becadcc648749ac78477330b2a8.jpg"/><Relationship Id="rId28" Type="http://schemas.openxmlformats.org/officeDocument/2006/relationships/image" Target="../media/ed17544952feced73b8f1cde0cf85360.jpg"/><Relationship Id="rId29" Type="http://schemas.openxmlformats.org/officeDocument/2006/relationships/image" Target="../media/fcaad2d2c9bed558da8b99edd1c617e7.jpg"/><Relationship Id="rId30" Type="http://schemas.openxmlformats.org/officeDocument/2006/relationships/image" Target="../media/f2cefd8b5d7f48383c2e0d76956cd075.jpg"/><Relationship Id="rId31" Type="http://schemas.openxmlformats.org/officeDocument/2006/relationships/image" Target="../media/a631ccba15671fe3515af2cc4cac549d.jpg"/><Relationship Id="rId32" Type="http://schemas.openxmlformats.org/officeDocument/2006/relationships/image" Target="../media/4166531fc6beb85d2ab5fea58f8e7b74.jpg"/><Relationship Id="rId33" Type="http://schemas.openxmlformats.org/officeDocument/2006/relationships/image" Target="../media/f56aa9cbc280f3a494c87eff7003eb50.jpg"/><Relationship Id="rId34" Type="http://schemas.openxmlformats.org/officeDocument/2006/relationships/image" Target="../media/ad8891137ee162e4637c300e704fb7a8.jpg"/><Relationship Id="rId35" Type="http://schemas.openxmlformats.org/officeDocument/2006/relationships/image" Target="../media/0c8c715bd25d134461738ebe45705734.jpg"/><Relationship Id="rId36" Type="http://schemas.openxmlformats.org/officeDocument/2006/relationships/image" Target="../media/7f5a2c5ad81acd7b5bf81c4faa08a586.jpg"/><Relationship Id="rId37" Type="http://schemas.openxmlformats.org/officeDocument/2006/relationships/image" Target="../media/fa147d796b5e4d88055a977f2c8b79e6.jpg"/><Relationship Id="rId38" Type="http://schemas.openxmlformats.org/officeDocument/2006/relationships/image" Target="../media/7933982d242d55fadbfa392e6c4c0b2c.jpg"/><Relationship Id="rId39" Type="http://schemas.openxmlformats.org/officeDocument/2006/relationships/image" Target="../media/22b58f6d2a634c0ab901292dd7c09684.jpg"/><Relationship Id="rId40" Type="http://schemas.openxmlformats.org/officeDocument/2006/relationships/image" Target="../media/511e568f7020a3f9994dcf34056f94c4.jpg"/><Relationship Id="rId41" Type="http://schemas.openxmlformats.org/officeDocument/2006/relationships/image" Target="../media/58daa152f1635352403b6ed832971df6.jpg"/><Relationship Id="rId42" Type="http://schemas.openxmlformats.org/officeDocument/2006/relationships/image" Target="../media/fb1b64a2fb1f6f81da59241a549931e7.jpg"/><Relationship Id="rId43" Type="http://schemas.openxmlformats.org/officeDocument/2006/relationships/image" Target="../media/036365cefef973db2fdc6ed5dc86a1fc.jpg"/><Relationship Id="rId44" Type="http://schemas.openxmlformats.org/officeDocument/2006/relationships/image" Target="../media/c5b52f46ca9a50e0c839ec99ba132345.jpg"/><Relationship Id="rId45" Type="http://schemas.openxmlformats.org/officeDocument/2006/relationships/image" Target="../media/864c2c5836d91a10efa5d4386998116a.jpg"/><Relationship Id="rId46" Type="http://schemas.openxmlformats.org/officeDocument/2006/relationships/image" Target="../media/a0fe192400a321fb3ea605d80c818901.jpg"/><Relationship Id="rId47" Type="http://schemas.openxmlformats.org/officeDocument/2006/relationships/image" Target="../media/04aa63ed29e0ad00abb4cbf2e3a2827e.jpg"/><Relationship Id="rId48" Type="http://schemas.openxmlformats.org/officeDocument/2006/relationships/image" Target="../media/b16f9b293ecb4a482be61a5777b3767f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752475" cy="209550"/>
    <xdr:pic>
      <xdr:nvPicPr>
        <xdr:cNvPr id="1" name="brand_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</xdr:row>
      <xdr:rowOff>38100</xdr:rowOff>
    </xdr:from>
    <xdr:ext cx="647700" cy="647700"/>
    <xdr:pic>
      <xdr:nvPicPr>
        <xdr:cNvPr id="2" name="photo_8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</xdr:row>
      <xdr:rowOff>38100</xdr:rowOff>
    </xdr:from>
    <xdr:ext cx="647700" cy="647700"/>
    <xdr:pic>
      <xdr:nvPicPr>
        <xdr:cNvPr id="3" name="photo_9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</xdr:row>
      <xdr:rowOff>38100</xdr:rowOff>
    </xdr:from>
    <xdr:ext cx="647700" cy="647700"/>
    <xdr:pic>
      <xdr:nvPicPr>
        <xdr:cNvPr id="4" name="photo_10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</xdr:row>
      <xdr:rowOff>38100</xdr:rowOff>
    </xdr:from>
    <xdr:ext cx="647700" cy="647700"/>
    <xdr:pic>
      <xdr:nvPicPr>
        <xdr:cNvPr id="5" name="photo_11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</xdr:row>
      <xdr:rowOff>38100</xdr:rowOff>
    </xdr:from>
    <xdr:ext cx="647700" cy="647700"/>
    <xdr:pic>
      <xdr:nvPicPr>
        <xdr:cNvPr id="6" name="photo_12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</xdr:row>
      <xdr:rowOff>38100</xdr:rowOff>
    </xdr:from>
    <xdr:ext cx="647700" cy="647700"/>
    <xdr:pic>
      <xdr:nvPicPr>
        <xdr:cNvPr id="7" name="photo_13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</xdr:row>
      <xdr:rowOff>38100</xdr:rowOff>
    </xdr:from>
    <xdr:ext cx="647700" cy="647700"/>
    <xdr:pic>
      <xdr:nvPicPr>
        <xdr:cNvPr id="8" name="photo_14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</xdr:row>
      <xdr:rowOff>38100</xdr:rowOff>
    </xdr:from>
    <xdr:ext cx="647700" cy="647700"/>
    <xdr:pic>
      <xdr:nvPicPr>
        <xdr:cNvPr id="9" name="photo_15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</xdr:row>
      <xdr:rowOff>38100</xdr:rowOff>
    </xdr:from>
    <xdr:ext cx="647700" cy="647700"/>
    <xdr:pic>
      <xdr:nvPicPr>
        <xdr:cNvPr id="10" name="photo_16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</xdr:row>
      <xdr:rowOff>38100</xdr:rowOff>
    </xdr:from>
    <xdr:ext cx="647700" cy="647700"/>
    <xdr:pic>
      <xdr:nvPicPr>
        <xdr:cNvPr id="11" name="photo_17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</xdr:row>
      <xdr:rowOff>38100</xdr:rowOff>
    </xdr:from>
    <xdr:ext cx="647700" cy="647700"/>
    <xdr:pic>
      <xdr:nvPicPr>
        <xdr:cNvPr id="12" name="photo_18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</xdr:row>
      <xdr:rowOff>38100</xdr:rowOff>
    </xdr:from>
    <xdr:ext cx="647700" cy="647700"/>
    <xdr:pic>
      <xdr:nvPicPr>
        <xdr:cNvPr id="13" name="photo_19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</xdr:row>
      <xdr:rowOff>38100</xdr:rowOff>
    </xdr:from>
    <xdr:ext cx="647700" cy="647700"/>
    <xdr:pic>
      <xdr:nvPicPr>
        <xdr:cNvPr id="14" name="photo_20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20</xdr:row>
      <xdr:rowOff>38100</xdr:rowOff>
    </xdr:from>
    <xdr:ext cx="504825" cy="647700"/>
    <xdr:pic>
      <xdr:nvPicPr>
        <xdr:cNvPr id="15" name="photo_21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21</xdr:row>
      <xdr:rowOff>38100</xdr:rowOff>
    </xdr:from>
    <xdr:ext cx="504825" cy="647700"/>
    <xdr:pic>
      <xdr:nvPicPr>
        <xdr:cNvPr id="16" name="photo_22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</xdr:row>
      <xdr:rowOff>38100</xdr:rowOff>
    </xdr:from>
    <xdr:ext cx="647700" cy="647700"/>
    <xdr:pic>
      <xdr:nvPicPr>
        <xdr:cNvPr id="17" name="photo_23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</xdr:row>
      <xdr:rowOff>38100</xdr:rowOff>
    </xdr:from>
    <xdr:ext cx="647700" cy="647700"/>
    <xdr:pic>
      <xdr:nvPicPr>
        <xdr:cNvPr id="18" name="photo_24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142875</xdr:colOff>
      <xdr:row>24</xdr:row>
      <xdr:rowOff>38100</xdr:rowOff>
    </xdr:from>
    <xdr:ext cx="485775" cy="647700"/>
    <xdr:pic>
      <xdr:nvPicPr>
        <xdr:cNvPr id="19" name="photo_25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142875</xdr:colOff>
      <xdr:row>25</xdr:row>
      <xdr:rowOff>38100</xdr:rowOff>
    </xdr:from>
    <xdr:ext cx="485775" cy="647700"/>
    <xdr:pic>
      <xdr:nvPicPr>
        <xdr:cNvPr id="20" name="photo_26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</xdr:row>
      <xdr:rowOff>38100</xdr:rowOff>
    </xdr:from>
    <xdr:ext cx="647700" cy="647700"/>
    <xdr:pic>
      <xdr:nvPicPr>
        <xdr:cNvPr id="21" name="photo_27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</xdr:row>
      <xdr:rowOff>38100</xdr:rowOff>
    </xdr:from>
    <xdr:ext cx="647700" cy="647700"/>
    <xdr:pic>
      <xdr:nvPicPr>
        <xdr:cNvPr id="22" name="photo_28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</xdr:row>
      <xdr:rowOff>38100</xdr:rowOff>
    </xdr:from>
    <xdr:ext cx="647700" cy="647700"/>
    <xdr:pic>
      <xdr:nvPicPr>
        <xdr:cNvPr id="23" name="photo_29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</xdr:row>
      <xdr:rowOff>38100</xdr:rowOff>
    </xdr:from>
    <xdr:ext cx="647700" cy="647700"/>
    <xdr:pic>
      <xdr:nvPicPr>
        <xdr:cNvPr id="24" name="photo_30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</xdr:row>
      <xdr:rowOff>38100</xdr:rowOff>
    </xdr:from>
    <xdr:ext cx="647700" cy="647700"/>
    <xdr:pic>
      <xdr:nvPicPr>
        <xdr:cNvPr id="25" name="photo_31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</xdr:row>
      <xdr:rowOff>38100</xdr:rowOff>
    </xdr:from>
    <xdr:ext cx="647700" cy="647700"/>
    <xdr:pic>
      <xdr:nvPicPr>
        <xdr:cNvPr id="26" name="photo_32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</xdr:row>
      <xdr:rowOff>38100</xdr:rowOff>
    </xdr:from>
    <xdr:ext cx="647700" cy="647700"/>
    <xdr:pic>
      <xdr:nvPicPr>
        <xdr:cNvPr id="27" name="photo_33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</xdr:row>
      <xdr:rowOff>38100</xdr:rowOff>
    </xdr:from>
    <xdr:ext cx="647700" cy="647700"/>
    <xdr:pic>
      <xdr:nvPicPr>
        <xdr:cNvPr id="28" name="photo_34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</xdr:row>
      <xdr:rowOff>38100</xdr:rowOff>
    </xdr:from>
    <xdr:ext cx="647700" cy="647700"/>
    <xdr:pic>
      <xdr:nvPicPr>
        <xdr:cNvPr id="29" name="photo_35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</xdr:row>
      <xdr:rowOff>38100</xdr:rowOff>
    </xdr:from>
    <xdr:ext cx="647700" cy="647700"/>
    <xdr:pic>
      <xdr:nvPicPr>
        <xdr:cNvPr id="30" name="photo_36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</xdr:row>
      <xdr:rowOff>38100</xdr:rowOff>
    </xdr:from>
    <xdr:ext cx="647700" cy="647700"/>
    <xdr:pic>
      <xdr:nvPicPr>
        <xdr:cNvPr id="31" name="photo_37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</xdr:row>
      <xdr:rowOff>38100</xdr:rowOff>
    </xdr:from>
    <xdr:ext cx="647700" cy="647700"/>
    <xdr:pic>
      <xdr:nvPicPr>
        <xdr:cNvPr id="32" name="photo_38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</xdr:row>
      <xdr:rowOff>38100</xdr:rowOff>
    </xdr:from>
    <xdr:ext cx="647700" cy="647700"/>
    <xdr:pic>
      <xdr:nvPicPr>
        <xdr:cNvPr id="33" name="photo_39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</xdr:row>
      <xdr:rowOff>38100</xdr:rowOff>
    </xdr:from>
    <xdr:ext cx="647700" cy="647700"/>
    <xdr:pic>
      <xdr:nvPicPr>
        <xdr:cNvPr id="34" name="photo_40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</xdr:row>
      <xdr:rowOff>38100</xdr:rowOff>
    </xdr:from>
    <xdr:ext cx="647700" cy="647700"/>
    <xdr:pic>
      <xdr:nvPicPr>
        <xdr:cNvPr id="35" name="photo_41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</xdr:row>
      <xdr:rowOff>38100</xdr:rowOff>
    </xdr:from>
    <xdr:ext cx="647700" cy="647700"/>
    <xdr:pic>
      <xdr:nvPicPr>
        <xdr:cNvPr id="36" name="photo_42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</xdr:row>
      <xdr:rowOff>38100</xdr:rowOff>
    </xdr:from>
    <xdr:ext cx="647700" cy="647700"/>
    <xdr:pic>
      <xdr:nvPicPr>
        <xdr:cNvPr id="37" name="photo_43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</xdr:row>
      <xdr:rowOff>57150</xdr:rowOff>
    </xdr:from>
    <xdr:ext cx="647700" cy="619125"/>
    <xdr:pic>
      <xdr:nvPicPr>
        <xdr:cNvPr id="38" name="photo_44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</xdr:row>
      <xdr:rowOff>38100</xdr:rowOff>
    </xdr:from>
    <xdr:ext cx="647700" cy="647700"/>
    <xdr:pic>
      <xdr:nvPicPr>
        <xdr:cNvPr id="39" name="photo_45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</xdr:row>
      <xdr:rowOff>38100</xdr:rowOff>
    </xdr:from>
    <xdr:ext cx="647700" cy="647700"/>
    <xdr:pic>
      <xdr:nvPicPr>
        <xdr:cNvPr id="40" name="photo_46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</xdr:row>
      <xdr:rowOff>38100</xdr:rowOff>
    </xdr:from>
    <xdr:ext cx="647700" cy="647700"/>
    <xdr:pic>
      <xdr:nvPicPr>
        <xdr:cNvPr id="41" name="photo_47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</xdr:row>
      <xdr:rowOff>38100</xdr:rowOff>
    </xdr:from>
    <xdr:ext cx="647700" cy="647700"/>
    <xdr:pic>
      <xdr:nvPicPr>
        <xdr:cNvPr id="42" name="photo_48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</xdr:row>
      <xdr:rowOff>38100</xdr:rowOff>
    </xdr:from>
    <xdr:ext cx="647700" cy="647700"/>
    <xdr:pic>
      <xdr:nvPicPr>
        <xdr:cNvPr id="43" name="photo_49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</xdr:row>
      <xdr:rowOff>38100</xdr:rowOff>
    </xdr:from>
    <xdr:ext cx="647700" cy="647700"/>
    <xdr:pic>
      <xdr:nvPicPr>
        <xdr:cNvPr id="44" name="photo_50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</xdr:row>
      <xdr:rowOff>38100</xdr:rowOff>
    </xdr:from>
    <xdr:ext cx="647700" cy="647700"/>
    <xdr:pic>
      <xdr:nvPicPr>
        <xdr:cNvPr id="45" name="photo_51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51</xdr:row>
      <xdr:rowOff>38100</xdr:rowOff>
    </xdr:from>
    <xdr:ext cx="647700" cy="647700"/>
    <xdr:pic>
      <xdr:nvPicPr>
        <xdr:cNvPr id="46" name="photo_52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52</xdr:row>
      <xdr:rowOff>38100</xdr:rowOff>
    </xdr:from>
    <xdr:ext cx="647700" cy="647700"/>
    <xdr:pic>
      <xdr:nvPicPr>
        <xdr:cNvPr id="47" name="photo_53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53</xdr:row>
      <xdr:rowOff>38100</xdr:rowOff>
    </xdr:from>
    <xdr:ext cx="647700" cy="647700"/>
    <xdr:pic>
      <xdr:nvPicPr>
        <xdr:cNvPr id="48" name="photo_54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676275" cy="190500"/>
    <xdr:pic>
      <xdr:nvPicPr>
        <xdr:cNvPr id="1" name="brand_logo_s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lavrpack.ru/catalog/?product=38e7d8a3-a8f9-11f0-ab48-22344d083d2c%2375fc7bb2-84cb-11f1-ab51-22344d083d2c" TargetMode="External"/><Relationship Id="rId_hyperlink_2" Type="http://schemas.openxmlformats.org/officeDocument/2006/relationships/hyperlink" Target="https://www.lavrpack.ru/catalog/?product=38e7d8a3-a8f9-11f0-ab48-22344d083d2c%238929b39e-84cb-11f1-ab51-22344d083d2c" TargetMode="External"/><Relationship Id="rId_hyperlink_3" Type="http://schemas.openxmlformats.org/officeDocument/2006/relationships/hyperlink" Target="https://www.lavrpack.ru/catalog/?product=38e7d8a3-a8f9-11f0-ab48-22344d083d2c%239d122479-84cb-11f1-ab51-22344d083d2c" TargetMode="External"/><Relationship Id="rId_hyperlink_4" Type="http://schemas.openxmlformats.org/officeDocument/2006/relationships/hyperlink" Target="https://www.lavrpack.ru/catalog/?product=38e7d8a3-a8f9-11f0-ab48-22344d083d2c%23b2ddae49-84cb-11f1-ab51-22344d083d2c" TargetMode="External"/><Relationship Id="rId_hyperlink_5" Type="http://schemas.openxmlformats.org/officeDocument/2006/relationships/hyperlink" Target="https://www.lavrpack.ru/catalog/?product=38e7d8a3-a8f9-11f0-ab48-22344d083d2c%23bfeae8b2-84cb-11f1-ab51-22344d083d2c" TargetMode="External"/><Relationship Id="rId_hyperlink_6" Type="http://schemas.openxmlformats.org/officeDocument/2006/relationships/hyperlink" Target="https://www.lavrpack.ru/catalog/?product=38e7d8a3-a8f9-11f0-ab48-22344d083d2c%234bb318da-a53a-11f1-ab51-22344d083d2c" TargetMode="External"/><Relationship Id="rId_hyperlink_7" Type="http://schemas.openxmlformats.org/officeDocument/2006/relationships/hyperlink" Target="https://www.lavrpack.ru/catalog/?product=38e7d8a3-a8f9-11f0-ab48-22344d083d2c%235ab23471-a53a-11f1-ab51-22344d083d2c" TargetMode="External"/><Relationship Id="rId_hyperlink_8" Type="http://schemas.openxmlformats.org/officeDocument/2006/relationships/hyperlink" Target="https://www.lavrpack.ru/catalog/?product=38e7d8a3-a8f9-11f0-ab48-22344d083d2c%239faa7cba-a8f9-11f0-ab48-22344d083d2c" TargetMode="External"/><Relationship Id="rId_hyperlink_9" Type="http://schemas.openxmlformats.org/officeDocument/2006/relationships/hyperlink" Target="https://www.lavrpack.ru/catalog/?product=38e7d8a3-a8f9-11f0-ab48-22344d083d2c%23da92bba6-84cb-11f1-ab51-22344d083d2c" TargetMode="External"/><Relationship Id="rId_hyperlink_10" Type="http://schemas.openxmlformats.org/officeDocument/2006/relationships/hyperlink" Target="https://www.lavrpack.ru/catalog/?product=38e7d8a3-a8f9-11f0-ab48-22344d083d2c%23ecfaf5fb-84cb-11f1-ab51-22344d083d2c" TargetMode="External"/><Relationship Id="rId_hyperlink_11" Type="http://schemas.openxmlformats.org/officeDocument/2006/relationships/hyperlink" Target="https://www.lavrpack.ru/catalog/?product=496c19e7-7f2d-11ec-b73f-0018e40a3af2" TargetMode="External"/><Relationship Id="rId_hyperlink_12" Type="http://schemas.openxmlformats.org/officeDocument/2006/relationships/hyperlink" Target="https://www.lavrpack.ru/catalog/?product=49aedceb-7f2c-11ec-b73f-0018e40a3af2" TargetMode="External"/><Relationship Id="rId_hyperlink_13" Type="http://schemas.openxmlformats.org/officeDocument/2006/relationships/hyperlink" Target="https://www.lavrpack.ru/catalog/?product=5b734929-7f2d-11ec-b73f-0018e40a3af2" TargetMode="External"/><Relationship Id="rId_hyperlink_14" Type="http://schemas.openxmlformats.org/officeDocument/2006/relationships/hyperlink" Target="https://www.lavrpack.ru/catalog/?product=57d661ef-a8fd-11f0-ab48-22344d083d2c%237734e7fc-a992-11f0-ab48-22344d083d2c" TargetMode="External"/><Relationship Id="rId_hyperlink_15" Type="http://schemas.openxmlformats.org/officeDocument/2006/relationships/hyperlink" Target="https://www.lavrpack.ru/catalog/?product=57d661ef-a8fd-11f0-ab48-22344d083d2c%23726ae1e8-a8fd-11f0-ab48-22344d083d2c" TargetMode="External"/><Relationship Id="rId_hyperlink_16" Type="http://schemas.openxmlformats.org/officeDocument/2006/relationships/hyperlink" Target="https://www.lavrpack.ru/catalog/?product=57d661ef-a8fd-11f0-ab48-22344d083d2c%23ea123d8a-84cc-11f1-ab51-22344d083d2c" TargetMode="External"/><Relationship Id="rId_hyperlink_17" Type="http://schemas.openxmlformats.org/officeDocument/2006/relationships/hyperlink" Target="https://www.lavrpack.ru/catalog/?product=1fe55b87-a8fa-11f0-ab48-22344d083d2c%2367dd007e-a8fa-11f0-ab48-22344d083d2c" TargetMode="External"/><Relationship Id="rId_hyperlink_18" Type="http://schemas.openxmlformats.org/officeDocument/2006/relationships/hyperlink" Target="https://www.lavrpack.ru/catalog/?product=1fe55b87-a8fa-11f0-ab48-22344d083d2c%238e99aa0d-a8fa-11f0-ab48-22344d083d2c" TargetMode="External"/><Relationship Id="rId_hyperlink_19" Type="http://schemas.openxmlformats.org/officeDocument/2006/relationships/hyperlink" Target="https://www.lavrpack.ru/catalog/?product=1fe55b87-a8fa-11f0-ab48-22344d083d2c%2380edb350-a8fa-11f0-ab48-22344d083d2c" TargetMode="External"/><Relationship Id="rId_hyperlink_20" Type="http://schemas.openxmlformats.org/officeDocument/2006/relationships/hyperlink" Target="https://www.lavrpack.ru/catalog/?product=35826152-643d-11ee-bc2f-00e01a6800eb" TargetMode="External"/><Relationship Id="rId_hyperlink_21" Type="http://schemas.openxmlformats.org/officeDocument/2006/relationships/hyperlink" Target="https://www.lavrpack.ru/catalog/?product=44d7930e-6410-11ee-bc2f-00e01a6800eb" TargetMode="External"/><Relationship Id="rId_hyperlink_22" Type="http://schemas.openxmlformats.org/officeDocument/2006/relationships/hyperlink" Target="https://www.lavrpack.ru/catalog/?product=a7b621fe-643d-11ee-bc2f-00e01a6800eb" TargetMode="External"/><Relationship Id="rId_hyperlink_23" Type="http://schemas.openxmlformats.org/officeDocument/2006/relationships/hyperlink" Target="https://www.lavrpack.ru/catalog/?product=911364d1-6440-11ee-bc2f-00e01a6800eb" TargetMode="External"/><Relationship Id="rId_hyperlink_24" Type="http://schemas.openxmlformats.org/officeDocument/2006/relationships/hyperlink" Target="https://www.lavrpack.ru/catalog/?product=01cb34cd-643e-11ee-bc2f-00e01a6800eb" TargetMode="External"/><Relationship Id="rId_hyperlink_25" Type="http://schemas.openxmlformats.org/officeDocument/2006/relationships/hyperlink" Target="https://www.lavrpack.ru/catalog/?product=f1492208-6440-11ee-bc2f-00e01a6800eb" TargetMode="External"/><Relationship Id="rId_hyperlink_26" Type="http://schemas.openxmlformats.org/officeDocument/2006/relationships/hyperlink" Target="https://www.lavrpack.ru/catalog/?product=3eb52b13-03af-11ef-9f05-00e01a6800eb%2344c06997-03af-11ef-9f05-00e01a6800eb" TargetMode="External"/><Relationship Id="rId_hyperlink_27" Type="http://schemas.openxmlformats.org/officeDocument/2006/relationships/hyperlink" Target="https://www.lavrpack.ru/catalog/?product=3eb52b13-03af-11ef-9f05-00e01a6800eb%235d98c660-03af-11ef-9f05-00e01a6800eb" TargetMode="External"/><Relationship Id="rId_hyperlink_28" Type="http://schemas.openxmlformats.org/officeDocument/2006/relationships/hyperlink" Target="https://www.lavrpack.ru/catalog/?product=3eb52b13-03af-11ef-9f05-00e01a6800eb%23561c92a4-03af-11ef-9f05-00e01a6800eb" TargetMode="External"/><Relationship Id="rId_hyperlink_29" Type="http://schemas.openxmlformats.org/officeDocument/2006/relationships/hyperlink" Target="https://www.lavrpack.ru/catalog/?product=3eb52b13-03af-11ef-9f05-00e01a6800eb%234f6d153f-03af-11ef-9f05-00e01a6800eb" TargetMode="External"/><Relationship Id="rId_hyperlink_30" Type="http://schemas.openxmlformats.org/officeDocument/2006/relationships/hyperlink" Target="https://www.lavrpack.ru/catalog/?product=1a87b336-03b5-11ef-9f05-00e01a6800eb%23348bfd75-03b5-11ef-9f05-00e01a6800eb" TargetMode="External"/><Relationship Id="rId_hyperlink_31" Type="http://schemas.openxmlformats.org/officeDocument/2006/relationships/hyperlink" Target="https://www.lavrpack.ru/catalog/?product=1a87b336-03b5-11ef-9f05-00e01a6800eb%23254045e2-03b5-11ef-9f05-00e01a6800eb" TargetMode="External"/><Relationship Id="rId_hyperlink_32" Type="http://schemas.openxmlformats.org/officeDocument/2006/relationships/hyperlink" Target="https://www.lavrpack.ru/catalog/?product=1a87b336-03b5-11ef-9f05-00e01a6800eb%23469389a8-03b5-11ef-9f05-00e01a6800eb" TargetMode="External"/><Relationship Id="rId_hyperlink_33" Type="http://schemas.openxmlformats.org/officeDocument/2006/relationships/hyperlink" Target="https://www.lavrpack.ru/catalog/?product=a5633da7-03b3-11ef-9f05-00e01a6800eb%23b789bbaa-03b3-11ef-9f05-00e01a6800eb" TargetMode="External"/><Relationship Id="rId_hyperlink_34" Type="http://schemas.openxmlformats.org/officeDocument/2006/relationships/hyperlink" Target="https://www.lavrpack.ru/catalog/?product=a5633da7-03b3-11ef-9f05-00e01a6800eb%2316a4362e-03b4-11ef-9f05-00e01a6800eb" TargetMode="External"/><Relationship Id="rId_hyperlink_35" Type="http://schemas.openxmlformats.org/officeDocument/2006/relationships/hyperlink" Target="https://www.lavrpack.ru/catalog/?product=a5633da7-03b3-11ef-9f05-00e01a6800eb%2321f2bf69-03b4-11ef-9f05-00e01a6800eb" TargetMode="External"/><Relationship Id="rId_hyperlink_36" Type="http://schemas.openxmlformats.org/officeDocument/2006/relationships/hyperlink" Target="https://www.lavrpack.ru/catalog/?product=a5633da7-03b3-11ef-9f05-00e01a6800eb%232bfb2c31-03b4-11ef-9f05-00e01a6800eb" TargetMode="External"/><Relationship Id="rId_hyperlink_37" Type="http://schemas.openxmlformats.org/officeDocument/2006/relationships/hyperlink" Target="https://www.lavrpack.ru/catalog/?product=b7fa4955-a993-11f0-ab48-22344d083d2c%23311ec8b3-a994-11f0-ab48-22344d083d2c" TargetMode="External"/><Relationship Id="rId_hyperlink_38" Type="http://schemas.openxmlformats.org/officeDocument/2006/relationships/hyperlink" Target="https://www.lavrpack.ru/catalog/?product=e14fc659-03b1-11ef-9f05-00e01a6800eb%2369fa87e3-03b2-11ef-9f05-00e01a6800eb" TargetMode="External"/><Relationship Id="rId_hyperlink_39" Type="http://schemas.openxmlformats.org/officeDocument/2006/relationships/hyperlink" Target="https://www.lavrpack.ru/catalog/?product=e14fc659-03b1-11ef-9f05-00e01a6800eb%233ef6ea31-03b2-11ef-9f05-00e01a6800eb" TargetMode="External"/><Relationship Id="rId_hyperlink_40" Type="http://schemas.openxmlformats.org/officeDocument/2006/relationships/hyperlink" Target="https://www.lavrpack.ru/catalog/?product=e14fc659-03b1-11ef-9f05-00e01a6800eb%23180385ce-03b2-11ef-9f05-00e01a6800eb" TargetMode="External"/><Relationship Id="rId_hyperlink_41" Type="http://schemas.openxmlformats.org/officeDocument/2006/relationships/hyperlink" Target="https://www.lavrpack.ru/catalog/?product=e14fc659-03b1-11ef-9f05-00e01a6800eb%234f7351f7-03b2-11ef-9f05-00e01a6800eb" TargetMode="External"/><Relationship Id="rId_hyperlink_42" Type="http://schemas.openxmlformats.org/officeDocument/2006/relationships/hyperlink" Target="https://www.lavrpack.ru/catalog/?product=e14fc659-03b1-11ef-9f05-00e01a6800eb%236154c816-03b2-11ef-9f05-00e01a6800eb" TargetMode="External"/><Relationship Id="rId_hyperlink_43" Type="http://schemas.openxmlformats.org/officeDocument/2006/relationships/hyperlink" Target="https://www.lavrpack.ru/catalog/?product=6858fb15-03b0-11ef-9f05-00e01a6800eb%2385d2c54a-03b0-11ef-9f05-00e01a6800eb" TargetMode="External"/><Relationship Id="rId_hyperlink_44" Type="http://schemas.openxmlformats.org/officeDocument/2006/relationships/hyperlink" Target="https://www.lavrpack.ru/catalog/?product=6858fb15-03b0-11ef-9f05-00e01a6800eb%23c1d35502-03b0-11ef-9f05-00e01a6800eb" TargetMode="External"/><Relationship Id="rId_hyperlink_45" Type="http://schemas.openxmlformats.org/officeDocument/2006/relationships/hyperlink" Target="https://www.lavrpack.ru/catalog/?product=6858fb15-03b0-11ef-9f05-00e01a6800eb%23adefb5bc-03b0-11ef-9f05-00e01a6800eb" TargetMode="External"/><Relationship Id="rId_hyperlink_46" Type="http://schemas.openxmlformats.org/officeDocument/2006/relationships/hyperlink" Target="https://www.lavrpack.ru/catalog/?product=6858fb15-03b0-11ef-9f05-00e01a6800eb%239b842fce-03b0-11ef-9f05-00e01a6800eb" TargetMode="External"/><Relationship Id="rId_hyperlink_47" Type="http://schemas.openxmlformats.org/officeDocument/2006/relationships/hyperlink" Target="https://www.lavrpack.ru/catalog/?product=6858fb15-03b0-11ef-9f05-00e01a6800eb%237873ca84-03b0-11ef-9f05-00e01a6800eb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58"/>
  <sheetViews>
    <sheetView tabSelected="1" workbookViewId="0" showGridLines="true" showRowColHeaders="1">
      <pane ySplit="6" activePane="bottomLeft" state="frozen" topLeftCell="A7"/>
      <selection pane="bottomLeft" activeCell="M7" sqref="M7:M54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26" customWidth="true" style="0"/>
    <col min="4" max="4" width="30" customWidth="true" style="0"/>
    <col min="5" max="5" width="21" customWidth="true" style="0"/>
    <col min="6" max="6" width="8" customWidth="true" style="0"/>
    <col min="7" max="7" width="10" customWidth="true" style="0"/>
    <col min="8" max="8" width="11" hidden="true" customWidth="true" style="0"/>
    <col min="9" max="9" width="11" customWidth="true" style="0"/>
    <col min="10" max="10" width="11" customWidth="true" style="0"/>
    <col min="11" max="11" width="11" customWidth="true" style="0"/>
    <col min="12" max="12" width="14" customWidth="true" style="0"/>
    <col min="13" max="13" width="26" customWidth="true" style="0"/>
    <col min="14" max="14" width="9.10" hidden="true" style="0"/>
    <col min="15" max="15" width="9.10" hidden="true" style="0"/>
    <col min="16" max="16" width="9.10" hidden="true" style="0"/>
    <col min="17" max="17" width="9.10" hidden="true" style="0"/>
    <col min="18" max="18" width="9.10" hidden="true" style="0"/>
  </cols>
  <sheetData>
    <row r="1" spans="1:18" customHeight="1" ht="30">
      <c r="A1" s="1" t="s">
        <v>0</v>
      </c>
    </row>
    <row r="2" spans="1:18" customHeight="1" ht="21">
      <c r="A2" s="11" t="s">
        <v>1</v>
      </c>
      <c r="B2" s="41"/>
      <c r="C2" s="42"/>
      <c r="D2" s="12" t="s">
        <v>5</v>
      </c>
      <c r="E2" s="41"/>
      <c r="F2" s="42"/>
      <c r="G2" s="14" t="s">
        <v>12</v>
      </c>
      <c r="H2" s="13"/>
      <c r="I2" s="13"/>
      <c r="J2" s="2" t="s">
        <v>13</v>
      </c>
      <c r="K2" s="5"/>
      <c r="L2" s="8"/>
    </row>
    <row r="3" spans="1:18" customHeight="1" ht="21">
      <c r="A3" s="11" t="s">
        <v>2</v>
      </c>
      <c r="B3" s="41"/>
      <c r="C3" s="42"/>
      <c r="D3" s="12" t="s">
        <v>6</v>
      </c>
      <c r="E3" s="13" t="s">
        <v>7</v>
      </c>
      <c r="F3" s="13"/>
      <c r="G3" s="43"/>
      <c r="H3" s="45"/>
      <c r="I3" s="47"/>
      <c r="J3" s="3"/>
      <c r="K3" s="6"/>
      <c r="L3" s="9"/>
    </row>
    <row r="4" spans="1:18" customHeight="1" ht="21">
      <c r="A4" s="11" t="s">
        <v>3</v>
      </c>
      <c r="B4" s="41"/>
      <c r="C4" s="42"/>
      <c r="D4" s="12" t="s">
        <v>8</v>
      </c>
      <c r="E4" s="13" t="s">
        <v>9</v>
      </c>
      <c r="F4" s="13"/>
      <c r="G4" s="44"/>
      <c r="H4" s="46"/>
      <c r="I4" s="48"/>
      <c r="J4" s="3"/>
      <c r="K4" s="6"/>
      <c r="L4" s="9"/>
    </row>
    <row r="5" spans="1:18" customHeight="1" ht="21">
      <c r="A5" s="11" t="s">
        <v>4</v>
      </c>
      <c r="B5" s="41"/>
      <c r="C5" s="42"/>
      <c r="D5" s="12" t="s">
        <v>10</v>
      </c>
      <c r="E5" s="13" t="s">
        <v>11</v>
      </c>
      <c r="F5" s="13"/>
      <c r="G5" s="39" t="str">
        <f>IF($G$3="","",SUMPRODUCT(--ISNUMBER(SEARCH($G$3,$B$7:$B$54&amp;" "&amp;$C$7:$C$54&amp;" "&amp;$D$7:$D$54&amp;" "&amp;$E$7:$E$54)))&amp;" найдено — совпадения подсвечены")</f>
      </c>
      <c r="J5" s="4"/>
      <c r="K5" s="7"/>
      <c r="L5" s="10"/>
    </row>
    <row r="6" spans="1:18" customHeight="1" ht="30">
      <c r="A6" s="15" t="s">
        <v>14</v>
      </c>
      <c r="B6" s="15" t="s">
        <v>15</v>
      </c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5"/>
      <c r="I6" s="15" t="s">
        <v>21</v>
      </c>
      <c r="J6" s="15" t="s">
        <v>22</v>
      </c>
      <c r="K6" s="15" t="s">
        <v>23</v>
      </c>
      <c r="L6" s="15" t="s">
        <v>24</v>
      </c>
      <c r="M6" s="15" t="s">
        <v>5</v>
      </c>
      <c r="N6" s="40" t="s">
        <v>190</v>
      </c>
      <c r="P6" s="40" t="s">
        <v>191</v>
      </c>
      <c r="Q6" s="40" t="s">
        <v>192</v>
      </c>
      <c r="R6" s="40" t="s">
        <v>193</v>
      </c>
    </row>
    <row r="7" spans="1:18" customHeight="1" ht="24">
      <c r="A7" s="23" t="s">
        <v>25</v>
      </c>
      <c r="B7" s="24"/>
      <c r="C7" s="25"/>
      <c r="D7" s="25"/>
      <c r="E7" s="25"/>
      <c r="F7" s="26"/>
      <c r="G7" s="27"/>
      <c r="H7" s="28"/>
      <c r="I7" s="28"/>
      <c r="J7" s="29"/>
      <c r="K7" s="49"/>
      <c r="L7" s="28"/>
      <c r="M7" s="51"/>
      <c r="N7" t="str">
        <f>IF(K7&gt;0,COUNTIF($K$7:K7,"&gt;0"),"")</f>
      </c>
    </row>
    <row r="8" spans="1:18" customHeight="1" ht="58">
      <c r="A8" s="16"/>
      <c r="B8" s="18" t="s">
        <v>27</v>
      </c>
      <c r="C8" s="17" t="s">
        <v>28</v>
      </c>
      <c r="D8" s="17"/>
      <c r="E8" s="17"/>
      <c r="F8" s="19"/>
      <c r="G8" s="20">
        <v>1.0</v>
      </c>
      <c r="H8" s="21"/>
      <c r="I8" s="21">
        <v>436.0</v>
      </c>
      <c r="J8" s="22">
        <v>19.0</v>
      </c>
      <c r="K8" s="50"/>
      <c r="L8" s="21" t="str">
        <f>IF(K8&gt;0,K8*I8,"")</f>
      </c>
      <c r="M8" s="52"/>
      <c r="N8" t="str">
        <f>IF(K8&gt;0,COUNTIF($K$7:K8,"&gt;0"),"")</f>
      </c>
      <c r="P8" t="s">
        <v>26</v>
      </c>
      <c r="Q8" t="s">
        <v>26</v>
      </c>
    </row>
    <row r="9" spans="1:18" customHeight="1" ht="58">
      <c r="A9" s="16"/>
      <c r="B9" s="18" t="s">
        <v>27</v>
      </c>
      <c r="C9" s="17" t="s">
        <v>30</v>
      </c>
      <c r="D9" s="17"/>
      <c r="E9" s="17"/>
      <c r="F9" s="19"/>
      <c r="G9" s="20">
        <v>1.0</v>
      </c>
      <c r="H9" s="21"/>
      <c r="I9" s="21">
        <v>626.0</v>
      </c>
      <c r="J9" s="22">
        <v>232.0</v>
      </c>
      <c r="K9" s="50"/>
      <c r="L9" s="21" t="str">
        <f>IF(K9&gt;0,K9*I9,"")</f>
      </c>
      <c r="M9" s="52"/>
      <c r="N9" t="str">
        <f>IF(K9&gt;0,COUNTIF($K$7:K9,"&gt;0"),"")</f>
      </c>
      <c r="P9" t="s">
        <v>29</v>
      </c>
      <c r="Q9" t="s">
        <v>29</v>
      </c>
    </row>
    <row r="10" spans="1:18" customHeight="1" ht="58">
      <c r="A10" s="16"/>
      <c r="B10" s="18" t="s">
        <v>27</v>
      </c>
      <c r="C10" s="17" t="s">
        <v>32</v>
      </c>
      <c r="D10" s="17"/>
      <c r="E10" s="17"/>
      <c r="F10" s="19"/>
      <c r="G10" s="20">
        <v>1.0</v>
      </c>
      <c r="H10" s="21"/>
      <c r="I10" s="21">
        <v>563.0</v>
      </c>
      <c r="J10" s="22">
        <v>103.0</v>
      </c>
      <c r="K10" s="50"/>
      <c r="L10" s="21" t="str">
        <f>IF(K10&gt;0,K10*I10,"")</f>
      </c>
      <c r="M10" s="52"/>
      <c r="N10" t="str">
        <f>IF(K10&gt;0,COUNTIF($K$7:K10,"&gt;0"),"")</f>
      </c>
      <c r="P10" t="s">
        <v>31</v>
      </c>
      <c r="Q10" t="s">
        <v>31</v>
      </c>
    </row>
    <row r="11" spans="1:18" customHeight="1" ht="58">
      <c r="A11" s="16"/>
      <c r="B11" s="18" t="s">
        <v>27</v>
      </c>
      <c r="C11" s="17" t="s">
        <v>34</v>
      </c>
      <c r="D11" s="17"/>
      <c r="E11" s="17"/>
      <c r="F11" s="19"/>
      <c r="G11" s="20">
        <v>1.0</v>
      </c>
      <c r="H11" s="21"/>
      <c r="I11" s="21">
        <v>775.0</v>
      </c>
      <c r="J11" s="22">
        <v>232.0</v>
      </c>
      <c r="K11" s="50"/>
      <c r="L11" s="21" t="str">
        <f>IF(K11&gt;0,K11*I11,"")</f>
      </c>
      <c r="M11" s="52"/>
      <c r="N11" t="str">
        <f>IF(K11&gt;0,COUNTIF($K$7:K11,"&gt;0"),"")</f>
      </c>
      <c r="P11" t="s">
        <v>33</v>
      </c>
      <c r="Q11" t="s">
        <v>33</v>
      </c>
    </row>
    <row r="12" spans="1:18" customHeight="1" ht="58">
      <c r="A12" s="16"/>
      <c r="B12" s="18" t="s">
        <v>27</v>
      </c>
      <c r="C12" s="17" t="s">
        <v>36</v>
      </c>
      <c r="D12" s="17"/>
      <c r="E12" s="17"/>
      <c r="F12" s="19"/>
      <c r="G12" s="20">
        <v>1.0</v>
      </c>
      <c r="H12" s="21"/>
      <c r="I12" s="21">
        <v>634.0</v>
      </c>
      <c r="J12" s="22">
        <v>109.0</v>
      </c>
      <c r="K12" s="50"/>
      <c r="L12" s="21" t="str">
        <f>IF(K12&gt;0,K12*I12,"")</f>
      </c>
      <c r="M12" s="52"/>
      <c r="N12" t="str">
        <f>IF(K12&gt;0,COUNTIF($K$7:K12,"&gt;0"),"")</f>
      </c>
      <c r="P12" t="s">
        <v>35</v>
      </c>
      <c r="Q12" t="s">
        <v>35</v>
      </c>
    </row>
    <row r="13" spans="1:18" customHeight="1" ht="58">
      <c r="A13" s="16"/>
      <c r="B13" s="18" t="s">
        <v>27</v>
      </c>
      <c r="C13" s="17" t="s">
        <v>38</v>
      </c>
      <c r="D13" s="17"/>
      <c r="E13" s="17"/>
      <c r="F13" s="19"/>
      <c r="G13" s="20">
        <v>1.0</v>
      </c>
      <c r="H13" s="21"/>
      <c r="I13" s="21">
        <v>1416.0</v>
      </c>
      <c r="J13" s="22">
        <v>134.0</v>
      </c>
      <c r="K13" s="50"/>
      <c r="L13" s="21" t="str">
        <f>IF(K13&gt;0,K13*I13,"")</f>
      </c>
      <c r="M13" s="52"/>
      <c r="N13" t="str">
        <f>IF(K13&gt;0,COUNTIF($K$7:K13,"&gt;0"),"")</f>
      </c>
      <c r="P13" t="s">
        <v>37</v>
      </c>
      <c r="Q13" t="s">
        <v>37</v>
      </c>
    </row>
    <row r="14" spans="1:18" customHeight="1" ht="58">
      <c r="A14" s="16"/>
      <c r="B14" s="18" t="s">
        <v>27</v>
      </c>
      <c r="C14" s="17" t="s">
        <v>40</v>
      </c>
      <c r="D14" s="17"/>
      <c r="E14" s="17"/>
      <c r="F14" s="19"/>
      <c r="G14" s="20">
        <v>1.0</v>
      </c>
      <c r="H14" s="21"/>
      <c r="I14" s="21">
        <v>1972.0</v>
      </c>
      <c r="J14" s="22">
        <v>144.0</v>
      </c>
      <c r="K14" s="50"/>
      <c r="L14" s="21" t="str">
        <f>IF(K14&gt;0,K14*I14,"")</f>
      </c>
      <c r="M14" s="52"/>
      <c r="N14" t="str">
        <f>IF(K14&gt;0,COUNTIF($K$7:K14,"&gt;0"),"")</f>
      </c>
      <c r="P14" t="s">
        <v>39</v>
      </c>
      <c r="Q14" t="s">
        <v>39</v>
      </c>
    </row>
    <row r="15" spans="1:18" customHeight="1" ht="58">
      <c r="A15" s="16"/>
      <c r="B15" s="18" t="s">
        <v>27</v>
      </c>
      <c r="C15" s="17" t="s">
        <v>42</v>
      </c>
      <c r="D15" s="17"/>
      <c r="E15" s="17"/>
      <c r="F15" s="19"/>
      <c r="G15" s="20">
        <v>1.0</v>
      </c>
      <c r="H15" s="21"/>
      <c r="I15" s="21">
        <v>989.0</v>
      </c>
      <c r="J15" s="22">
        <v>77.0</v>
      </c>
      <c r="K15" s="50"/>
      <c r="L15" s="21" t="str">
        <f>IF(K15&gt;0,K15*I15,"")</f>
      </c>
      <c r="M15" s="52"/>
      <c r="N15" t="str">
        <f>IF(K15&gt;0,COUNTIF($K$7:K15,"&gt;0"),"")</f>
      </c>
      <c r="P15" t="s">
        <v>41</v>
      </c>
      <c r="Q15" t="s">
        <v>41</v>
      </c>
    </row>
    <row r="16" spans="1:18" customHeight="1" ht="58">
      <c r="A16" s="16"/>
      <c r="B16" s="18" t="s">
        <v>27</v>
      </c>
      <c r="C16" s="17" t="s">
        <v>44</v>
      </c>
      <c r="D16" s="17"/>
      <c r="E16" s="17"/>
      <c r="F16" s="19"/>
      <c r="G16" s="20">
        <v>1.0</v>
      </c>
      <c r="H16" s="21"/>
      <c r="I16" s="21">
        <v>1353.0</v>
      </c>
      <c r="J16" s="22">
        <v>259.0</v>
      </c>
      <c r="K16" s="50"/>
      <c r="L16" s="21" t="str">
        <f>IF(K16&gt;0,K16*I16,"")</f>
      </c>
      <c r="M16" s="52"/>
      <c r="N16" t="str">
        <f>IF(K16&gt;0,COUNTIF($K$7:K16,"&gt;0"),"")</f>
      </c>
      <c r="P16" t="s">
        <v>43</v>
      </c>
      <c r="Q16" t="s">
        <v>43</v>
      </c>
    </row>
    <row r="17" spans="1:18" customHeight="1" ht="58">
      <c r="A17" s="16"/>
      <c r="B17" s="18" t="s">
        <v>27</v>
      </c>
      <c r="C17" s="17" t="s">
        <v>46</v>
      </c>
      <c r="D17" s="17"/>
      <c r="E17" s="17"/>
      <c r="F17" s="19"/>
      <c r="G17" s="20">
        <v>1.0</v>
      </c>
      <c r="H17" s="21"/>
      <c r="I17" s="21">
        <v>1014.0</v>
      </c>
      <c r="J17" s="22">
        <v>90.0</v>
      </c>
      <c r="K17" s="50"/>
      <c r="L17" s="21" t="str">
        <f>IF(K17&gt;0,K17*I17,"")</f>
      </c>
      <c r="M17" s="52"/>
      <c r="N17" t="str">
        <f>IF(K17&gt;0,COUNTIF($K$7:K17,"&gt;0"),"")</f>
      </c>
      <c r="P17" t="s">
        <v>45</v>
      </c>
      <c r="Q17" t="s">
        <v>45</v>
      </c>
    </row>
    <row r="18" spans="1:18" customHeight="1" ht="58">
      <c r="A18" s="16"/>
      <c r="B18" s="18" t="s">
        <v>48</v>
      </c>
      <c r="C18" s="17" t="s">
        <v>49</v>
      </c>
      <c r="D18" s="17" t="s">
        <v>50</v>
      </c>
      <c r="E18" s="17" t="s">
        <v>51</v>
      </c>
      <c r="F18" s="19"/>
      <c r="G18" s="20">
        <v>1.0</v>
      </c>
      <c r="H18" s="21"/>
      <c r="I18" s="21">
        <v>265.0</v>
      </c>
      <c r="J18" s="22">
        <v>1.0</v>
      </c>
      <c r="K18" s="50"/>
      <c r="L18" s="21" t="str">
        <f>IF(K18&gt;0,K18*I18,"")</f>
      </c>
      <c r="M18" s="52"/>
      <c r="N18" t="str">
        <f>IF(K18&gt;0,COUNTIF($K$7:K18,"&gt;0"),"")</f>
      </c>
      <c r="O18" t="s">
        <v>52</v>
      </c>
      <c r="P18" t="s">
        <v>47</v>
      </c>
      <c r="Q18" t="s">
        <v>47</v>
      </c>
    </row>
    <row r="19" spans="1:18" customHeight="1" ht="58">
      <c r="A19" s="16"/>
      <c r="B19" s="18" t="s">
        <v>54</v>
      </c>
      <c r="C19" s="17" t="s">
        <v>49</v>
      </c>
      <c r="D19" s="17" t="s">
        <v>50</v>
      </c>
      <c r="E19" s="17" t="s">
        <v>55</v>
      </c>
      <c r="F19" s="19"/>
      <c r="G19" s="20">
        <v>1.0</v>
      </c>
      <c r="H19" s="21"/>
      <c r="I19" s="21">
        <v>502.0</v>
      </c>
      <c r="J19" s="22">
        <v>77.0</v>
      </c>
      <c r="K19" s="50"/>
      <c r="L19" s="21" t="str">
        <f>IF(K19&gt;0,K19*I19,"")</f>
      </c>
      <c r="M19" s="52"/>
      <c r="N19" t="str">
        <f>IF(K19&gt;0,COUNTIF($K$7:K19,"&gt;0"),"")</f>
      </c>
      <c r="O19" t="s">
        <v>56</v>
      </c>
      <c r="P19" t="s">
        <v>53</v>
      </c>
      <c r="Q19" t="s">
        <v>53</v>
      </c>
    </row>
    <row r="20" spans="1:18" customHeight="1" ht="58">
      <c r="A20" s="16"/>
      <c r="B20" s="18" t="s">
        <v>58</v>
      </c>
      <c r="C20" s="17" t="s">
        <v>49</v>
      </c>
      <c r="D20" s="17" t="s">
        <v>50</v>
      </c>
      <c r="E20" s="17" t="s">
        <v>59</v>
      </c>
      <c r="F20" s="19"/>
      <c r="G20" s="20">
        <v>1.0</v>
      </c>
      <c r="H20" s="21"/>
      <c r="I20" s="21">
        <v>502.0</v>
      </c>
      <c r="J20" s="22">
        <v>63.0</v>
      </c>
      <c r="K20" s="50"/>
      <c r="L20" s="21" t="str">
        <f>IF(K20&gt;0,K20*I20,"")</f>
      </c>
      <c r="M20" s="52"/>
      <c r="N20" t="str">
        <f>IF(K20&gt;0,COUNTIF($K$7:K20,"&gt;0"),"")</f>
      </c>
      <c r="O20" t="s">
        <v>60</v>
      </c>
      <c r="P20" t="s">
        <v>57</v>
      </c>
      <c r="Q20" t="s">
        <v>57</v>
      </c>
    </row>
    <row r="21" spans="1:18" customHeight="1" ht="58">
      <c r="A21" s="16"/>
      <c r="B21" s="18" t="s">
        <v>62</v>
      </c>
      <c r="C21" s="17" t="s">
        <v>63</v>
      </c>
      <c r="D21" s="17"/>
      <c r="E21" s="17"/>
      <c r="F21" s="19"/>
      <c r="G21" s="20">
        <v>1.0</v>
      </c>
      <c r="H21" s="21"/>
      <c r="I21" s="21">
        <v>366.0</v>
      </c>
      <c r="J21" s="22">
        <v>1.0</v>
      </c>
      <c r="K21" s="50"/>
      <c r="L21" s="21" t="str">
        <f>IF(K21&gt;0,K21*I21,"")</f>
      </c>
      <c r="M21" s="52"/>
      <c r="N21" t="str">
        <f>IF(K21&gt;0,COUNTIF($K$7:K21,"&gt;0"),"")</f>
      </c>
      <c r="O21" t="s">
        <v>64</v>
      </c>
      <c r="P21" t="s">
        <v>61</v>
      </c>
      <c r="Q21" t="s">
        <v>61</v>
      </c>
    </row>
    <row r="22" spans="1:18" customHeight="1" ht="58">
      <c r="A22" s="16"/>
      <c r="B22" s="18" t="s">
        <v>62</v>
      </c>
      <c r="C22" s="17" t="s">
        <v>66</v>
      </c>
      <c r="D22" s="17"/>
      <c r="E22" s="17"/>
      <c r="F22" s="19"/>
      <c r="G22" s="20">
        <v>1.0</v>
      </c>
      <c r="H22" s="21"/>
      <c r="I22" s="21">
        <v>548.0</v>
      </c>
      <c r="J22" s="22">
        <v>225.0</v>
      </c>
      <c r="K22" s="50"/>
      <c r="L22" s="21" t="str">
        <f>IF(K22&gt;0,K22*I22,"")</f>
      </c>
      <c r="M22" s="52"/>
      <c r="N22" t="str">
        <f>IF(K22&gt;0,COUNTIF($K$7:K22,"&gt;0"),"")</f>
      </c>
      <c r="O22" t="s">
        <v>67</v>
      </c>
      <c r="P22" t="s">
        <v>65</v>
      </c>
      <c r="Q22" t="s">
        <v>65</v>
      </c>
    </row>
    <row r="23" spans="1:18" customHeight="1" ht="58">
      <c r="A23" s="16"/>
      <c r="B23" s="18" t="s">
        <v>62</v>
      </c>
      <c r="C23" s="17" t="s">
        <v>69</v>
      </c>
      <c r="D23" s="17" t="s">
        <v>70</v>
      </c>
      <c r="E23" s="17" t="s">
        <v>71</v>
      </c>
      <c r="F23" s="19"/>
      <c r="G23" s="20">
        <v>1.0</v>
      </c>
      <c r="H23" s="21"/>
      <c r="I23" s="21">
        <v>754.0</v>
      </c>
      <c r="J23" s="22">
        <v>275.0</v>
      </c>
      <c r="K23" s="50"/>
      <c r="L23" s="21" t="str">
        <f>IF(K23&gt;0,K23*I23,"")</f>
      </c>
      <c r="M23" s="52"/>
      <c r="N23" t="str">
        <f>IF(K23&gt;0,COUNTIF($K$7:K23,"&gt;0"),"")</f>
      </c>
      <c r="P23" t="s">
        <v>68</v>
      </c>
      <c r="Q23" t="s">
        <v>68</v>
      </c>
    </row>
    <row r="24" spans="1:18" customHeight="1" ht="58">
      <c r="A24" s="16"/>
      <c r="B24" s="18" t="s">
        <v>73</v>
      </c>
      <c r="C24" s="17" t="s">
        <v>74</v>
      </c>
      <c r="D24" s="17" t="s">
        <v>75</v>
      </c>
      <c r="E24" s="17" t="s">
        <v>71</v>
      </c>
      <c r="F24" s="19"/>
      <c r="G24" s="20">
        <v>1.0</v>
      </c>
      <c r="H24" s="21"/>
      <c r="I24" s="21">
        <v>369.0</v>
      </c>
      <c r="J24" s="22">
        <v>116.0</v>
      </c>
      <c r="K24" s="50"/>
      <c r="L24" s="21" t="str">
        <f>IF(K24&gt;0,K24*I24,"")</f>
      </c>
      <c r="M24" s="52"/>
      <c r="N24" t="str">
        <f>IF(K24&gt;0,COUNTIF($K$7:K24,"&gt;0"),"")</f>
      </c>
      <c r="P24" t="s">
        <v>72</v>
      </c>
      <c r="Q24" t="s">
        <v>72</v>
      </c>
    </row>
    <row r="25" spans="1:18" customHeight="1" ht="58">
      <c r="A25" s="16"/>
      <c r="B25" s="18" t="s">
        <v>73</v>
      </c>
      <c r="C25" s="17" t="s">
        <v>77</v>
      </c>
      <c r="D25" s="17"/>
      <c r="E25" s="17"/>
      <c r="F25" s="19"/>
      <c r="G25" s="20">
        <v>1.0</v>
      </c>
      <c r="H25" s="21"/>
      <c r="I25" s="21">
        <v>541.0</v>
      </c>
      <c r="J25" s="22">
        <v>156.0</v>
      </c>
      <c r="K25" s="50"/>
      <c r="L25" s="21" t="str">
        <f>IF(K25&gt;0,K25*I25,"")</f>
      </c>
      <c r="M25" s="52"/>
      <c r="N25" t="str">
        <f>IF(K25&gt;0,COUNTIF($K$7:K25,"&gt;0"),"")</f>
      </c>
      <c r="O25" t="s">
        <v>78</v>
      </c>
      <c r="P25" t="s">
        <v>76</v>
      </c>
      <c r="Q25" t="s">
        <v>76</v>
      </c>
    </row>
    <row r="26" spans="1:18" customHeight="1" ht="58">
      <c r="A26" s="16"/>
      <c r="B26" s="18" t="s">
        <v>73</v>
      </c>
      <c r="C26" s="17" t="s">
        <v>80</v>
      </c>
      <c r="D26" s="17"/>
      <c r="E26" s="17"/>
      <c r="F26" s="19"/>
      <c r="G26" s="20">
        <v>1.0</v>
      </c>
      <c r="H26" s="21"/>
      <c r="I26" s="21">
        <v>745.0</v>
      </c>
      <c r="J26" s="22">
        <v>86.0</v>
      </c>
      <c r="K26" s="50"/>
      <c r="L26" s="21" t="str">
        <f>IF(K26&gt;0,K26*I26,"")</f>
      </c>
      <c r="M26" s="52"/>
      <c r="N26" t="str">
        <f>IF(K26&gt;0,COUNTIF($K$7:K26,"&gt;0"),"")</f>
      </c>
      <c r="O26" t="s">
        <v>81</v>
      </c>
      <c r="P26" t="s">
        <v>79</v>
      </c>
      <c r="Q26" t="s">
        <v>79</v>
      </c>
    </row>
    <row r="27" spans="1:18" customHeight="1" ht="58">
      <c r="A27" s="16"/>
      <c r="B27" s="18" t="s">
        <v>83</v>
      </c>
      <c r="C27" s="17" t="s">
        <v>84</v>
      </c>
      <c r="D27" s="17" t="s">
        <v>85</v>
      </c>
      <c r="E27" s="17" t="s">
        <v>86</v>
      </c>
      <c r="F27" s="19"/>
      <c r="G27" s="20">
        <v>1.0</v>
      </c>
      <c r="H27" s="21"/>
      <c r="I27" s="21">
        <v>434.0</v>
      </c>
      <c r="J27" s="22">
        <v>17.0</v>
      </c>
      <c r="K27" s="50"/>
      <c r="L27" s="21" t="str">
        <f>IF(K27&gt;0,K27*I27,"")</f>
      </c>
      <c r="M27" s="52"/>
      <c r="N27" t="str">
        <f>IF(K27&gt;0,COUNTIF($K$7:K27,"&gt;0"),"")</f>
      </c>
      <c r="O27" t="s">
        <v>87</v>
      </c>
      <c r="P27" t="s">
        <v>82</v>
      </c>
      <c r="Q27" t="s">
        <v>82</v>
      </c>
    </row>
    <row r="28" spans="1:18" customHeight="1" ht="58">
      <c r="A28" s="16"/>
      <c r="B28" s="18" t="s">
        <v>89</v>
      </c>
      <c r="C28" s="17" t="s">
        <v>84</v>
      </c>
      <c r="D28" s="17" t="s">
        <v>90</v>
      </c>
      <c r="E28" s="17" t="s">
        <v>91</v>
      </c>
      <c r="F28" s="19"/>
      <c r="G28" s="20">
        <v>1.0</v>
      </c>
      <c r="H28" s="21"/>
      <c r="I28" s="21">
        <v>172.0</v>
      </c>
      <c r="J28" s="22">
        <v>136.0</v>
      </c>
      <c r="K28" s="50"/>
      <c r="L28" s="21" t="str">
        <f>IF(K28&gt;0,K28*I28,"")</f>
      </c>
      <c r="M28" s="52"/>
      <c r="N28" t="str">
        <f>IF(K28&gt;0,COUNTIF($K$7:K28,"&gt;0"),"")</f>
      </c>
      <c r="O28" t="s">
        <v>92</v>
      </c>
      <c r="P28" t="s">
        <v>88</v>
      </c>
      <c r="Q28" t="s">
        <v>88</v>
      </c>
    </row>
    <row r="29" spans="1:18" customHeight="1" ht="58">
      <c r="A29" s="16"/>
      <c r="B29" s="18" t="s">
        <v>94</v>
      </c>
      <c r="C29" s="17" t="s">
        <v>84</v>
      </c>
      <c r="D29" s="17" t="s">
        <v>95</v>
      </c>
      <c r="E29" s="17" t="s">
        <v>96</v>
      </c>
      <c r="F29" s="19"/>
      <c r="G29" s="20">
        <v>1.0</v>
      </c>
      <c r="H29" s="21"/>
      <c r="I29" s="21">
        <v>779.0</v>
      </c>
      <c r="J29" s="22">
        <v>82.0</v>
      </c>
      <c r="K29" s="50"/>
      <c r="L29" s="21" t="str">
        <f>IF(K29&gt;0,K29*I29,"")</f>
      </c>
      <c r="M29" s="52"/>
      <c r="N29" t="str">
        <f>IF(K29&gt;0,COUNTIF($K$7:K29,"&gt;0"),"")</f>
      </c>
      <c r="O29" t="s">
        <v>97</v>
      </c>
      <c r="P29" t="s">
        <v>93</v>
      </c>
      <c r="Q29" t="s">
        <v>93</v>
      </c>
    </row>
    <row r="30" spans="1:18" customHeight="1" ht="58">
      <c r="A30" s="16"/>
      <c r="B30" s="18" t="s">
        <v>99</v>
      </c>
      <c r="C30" s="17" t="s">
        <v>84</v>
      </c>
      <c r="D30" s="17" t="s">
        <v>100</v>
      </c>
      <c r="E30" s="17" t="s">
        <v>101</v>
      </c>
      <c r="F30" s="19"/>
      <c r="G30" s="20">
        <v>1.0</v>
      </c>
      <c r="H30" s="21"/>
      <c r="I30" s="21">
        <v>304.0</v>
      </c>
      <c r="J30" s="22">
        <v>397.0</v>
      </c>
      <c r="K30" s="50"/>
      <c r="L30" s="21" t="str">
        <f>IF(K30&gt;0,K30*I30,"")</f>
      </c>
      <c r="M30" s="52"/>
      <c r="N30" t="str">
        <f>IF(K30&gt;0,COUNTIF($K$7:K30,"&gt;0"),"")</f>
      </c>
      <c r="O30" t="s">
        <v>102</v>
      </c>
      <c r="P30" t="s">
        <v>98</v>
      </c>
      <c r="Q30" t="s">
        <v>98</v>
      </c>
    </row>
    <row r="31" spans="1:18" customHeight="1" ht="58">
      <c r="A31" s="16"/>
      <c r="B31" s="18" t="s">
        <v>104</v>
      </c>
      <c r="C31" s="17" t="s">
        <v>84</v>
      </c>
      <c r="D31" s="17" t="s">
        <v>105</v>
      </c>
      <c r="E31" s="17" t="s">
        <v>106</v>
      </c>
      <c r="F31" s="19"/>
      <c r="G31" s="20">
        <v>1.0</v>
      </c>
      <c r="H31" s="21"/>
      <c r="I31" s="21">
        <v>1159.0</v>
      </c>
      <c r="J31" s="22">
        <v>330.0</v>
      </c>
      <c r="K31" s="50"/>
      <c r="L31" s="21" t="str">
        <f>IF(K31&gt;0,K31*I31,"")</f>
      </c>
      <c r="M31" s="52"/>
      <c r="N31" t="str">
        <f>IF(K31&gt;0,COUNTIF($K$7:K31,"&gt;0"),"")</f>
      </c>
      <c r="O31" t="s">
        <v>107</v>
      </c>
      <c r="P31" t="s">
        <v>103</v>
      </c>
      <c r="Q31" t="s">
        <v>103</v>
      </c>
    </row>
    <row r="32" spans="1:18" customHeight="1" ht="58">
      <c r="A32" s="16"/>
      <c r="B32" s="18" t="s">
        <v>109</v>
      </c>
      <c r="C32" s="17" t="s">
        <v>84</v>
      </c>
      <c r="D32" s="17" t="s">
        <v>110</v>
      </c>
      <c r="E32" s="17" t="s">
        <v>111</v>
      </c>
      <c r="F32" s="19"/>
      <c r="G32" s="20">
        <v>1.0</v>
      </c>
      <c r="H32" s="21"/>
      <c r="I32" s="21">
        <v>376.0</v>
      </c>
      <c r="J32" s="22">
        <v>347.0</v>
      </c>
      <c r="K32" s="50"/>
      <c r="L32" s="21" t="str">
        <f>IF(K32&gt;0,K32*I32,"")</f>
      </c>
      <c r="M32" s="52"/>
      <c r="N32" t="str">
        <f>IF(K32&gt;0,COUNTIF($K$7:K32,"&gt;0"),"")</f>
      </c>
      <c r="O32" t="s">
        <v>112</v>
      </c>
      <c r="P32" t="s">
        <v>108</v>
      </c>
      <c r="Q32" t="s">
        <v>108</v>
      </c>
    </row>
    <row r="33" spans="1:18" customHeight="1" ht="58">
      <c r="A33" s="16"/>
      <c r="B33" s="18" t="s">
        <v>114</v>
      </c>
      <c r="C33" s="17" t="s">
        <v>115</v>
      </c>
      <c r="D33" s="17"/>
      <c r="E33" s="17"/>
      <c r="F33" s="19"/>
      <c r="G33" s="20">
        <v>1.0</v>
      </c>
      <c r="H33" s="21"/>
      <c r="I33" s="21">
        <v>128.0</v>
      </c>
      <c r="J33" s="22">
        <v>56.0</v>
      </c>
      <c r="K33" s="50"/>
      <c r="L33" s="21" t="str">
        <f>IF(K33&gt;0,K33*I33,"")</f>
      </c>
      <c r="M33" s="52"/>
      <c r="N33" t="str">
        <f>IF(K33&gt;0,COUNTIF($K$7:K33,"&gt;0"),"")</f>
      </c>
      <c r="O33" t="s">
        <v>116</v>
      </c>
      <c r="P33" t="s">
        <v>113</v>
      </c>
      <c r="Q33" t="s">
        <v>113</v>
      </c>
    </row>
    <row r="34" spans="1:18" customHeight="1" ht="58">
      <c r="A34" s="16"/>
      <c r="B34" s="18" t="s">
        <v>114</v>
      </c>
      <c r="C34" s="17" t="s">
        <v>118</v>
      </c>
      <c r="D34" s="17"/>
      <c r="E34" s="17"/>
      <c r="F34" s="19"/>
      <c r="G34" s="20">
        <v>1.0</v>
      </c>
      <c r="H34" s="21"/>
      <c r="I34" s="21">
        <v>128.0</v>
      </c>
      <c r="J34" s="22">
        <v>35.0</v>
      </c>
      <c r="K34" s="50"/>
      <c r="L34" s="21" t="str">
        <f>IF(K34&gt;0,K34*I34,"")</f>
      </c>
      <c r="M34" s="52"/>
      <c r="N34" t="str">
        <f>IF(K34&gt;0,COUNTIF($K$7:K34,"&gt;0"),"")</f>
      </c>
      <c r="O34" t="s">
        <v>119</v>
      </c>
      <c r="P34" t="s">
        <v>117</v>
      </c>
      <c r="Q34" t="s">
        <v>117</v>
      </c>
    </row>
    <row r="35" spans="1:18" customHeight="1" ht="58">
      <c r="A35" s="16"/>
      <c r="B35" s="18" t="s">
        <v>114</v>
      </c>
      <c r="C35" s="17" t="s">
        <v>121</v>
      </c>
      <c r="D35" s="17"/>
      <c r="E35" s="17"/>
      <c r="F35" s="19"/>
      <c r="G35" s="20">
        <v>1.0</v>
      </c>
      <c r="H35" s="21"/>
      <c r="I35" s="21">
        <v>128.0</v>
      </c>
      <c r="J35" s="22">
        <v>70.0</v>
      </c>
      <c r="K35" s="50"/>
      <c r="L35" s="21" t="str">
        <f>IF(K35&gt;0,K35*I35,"")</f>
      </c>
      <c r="M35" s="52"/>
      <c r="N35" t="str">
        <f>IF(K35&gt;0,COUNTIF($K$7:K35,"&gt;0"),"")</f>
      </c>
      <c r="O35" t="s">
        <v>122</v>
      </c>
      <c r="P35" t="s">
        <v>120</v>
      </c>
      <c r="Q35" t="s">
        <v>120</v>
      </c>
    </row>
    <row r="36" spans="1:18" customHeight="1" ht="58">
      <c r="A36" s="16"/>
      <c r="B36" s="18" t="s">
        <v>114</v>
      </c>
      <c r="C36" s="17" t="s">
        <v>124</v>
      </c>
      <c r="D36" s="17"/>
      <c r="E36" s="17"/>
      <c r="F36" s="19"/>
      <c r="G36" s="20">
        <v>1.0</v>
      </c>
      <c r="H36" s="21"/>
      <c r="I36" s="21">
        <v>128.0</v>
      </c>
      <c r="J36" s="22">
        <v>124.0</v>
      </c>
      <c r="K36" s="50"/>
      <c r="L36" s="21" t="str">
        <f>IF(K36&gt;0,K36*I36,"")</f>
      </c>
      <c r="M36" s="52"/>
      <c r="N36" t="str">
        <f>IF(K36&gt;0,COUNTIF($K$7:K36,"&gt;0"),"")</f>
      </c>
      <c r="O36" t="s">
        <v>125</v>
      </c>
      <c r="P36" t="s">
        <v>123</v>
      </c>
      <c r="Q36" t="s">
        <v>123</v>
      </c>
    </row>
    <row r="37" spans="1:18" customHeight="1" ht="58">
      <c r="A37" s="16"/>
      <c r="B37" s="18" t="s">
        <v>127</v>
      </c>
      <c r="C37" s="17" t="s">
        <v>128</v>
      </c>
      <c r="D37" s="17"/>
      <c r="E37" s="17"/>
      <c r="F37" s="19"/>
      <c r="G37" s="20">
        <v>1.0</v>
      </c>
      <c r="H37" s="21"/>
      <c r="I37" s="21">
        <v>275.0</v>
      </c>
      <c r="J37" s="22">
        <v>1818.0</v>
      </c>
      <c r="K37" s="50"/>
      <c r="L37" s="21" t="str">
        <f>IF(K37&gt;0,K37*I37,"")</f>
      </c>
      <c r="M37" s="52"/>
      <c r="N37" t="str">
        <f>IF(K37&gt;0,COUNTIF($K$7:K37,"&gt;0"),"")</f>
      </c>
      <c r="O37" t="s">
        <v>129</v>
      </c>
      <c r="P37" t="s">
        <v>126</v>
      </c>
      <c r="Q37" t="s">
        <v>126</v>
      </c>
    </row>
    <row r="38" spans="1:18" customHeight="1" ht="58">
      <c r="A38" s="16"/>
      <c r="B38" s="18" t="s">
        <v>127</v>
      </c>
      <c r="C38" s="17" t="s">
        <v>131</v>
      </c>
      <c r="D38" s="17"/>
      <c r="E38" s="17"/>
      <c r="F38" s="19"/>
      <c r="G38" s="20">
        <v>1.0</v>
      </c>
      <c r="H38" s="21"/>
      <c r="I38" s="21">
        <v>275.0</v>
      </c>
      <c r="J38" s="22">
        <v>1845.0</v>
      </c>
      <c r="K38" s="50"/>
      <c r="L38" s="21" t="str">
        <f>IF(K38&gt;0,K38*I38,"")</f>
      </c>
      <c r="M38" s="52"/>
      <c r="N38" t="str">
        <f>IF(K38&gt;0,COUNTIF($K$7:K38,"&gt;0"),"")</f>
      </c>
      <c r="O38" t="s">
        <v>132</v>
      </c>
      <c r="P38" t="s">
        <v>130</v>
      </c>
      <c r="Q38" t="s">
        <v>130</v>
      </c>
    </row>
    <row r="39" spans="1:18" customHeight="1" ht="58">
      <c r="A39" s="16"/>
      <c r="B39" s="18" t="s">
        <v>127</v>
      </c>
      <c r="C39" s="17" t="s">
        <v>134</v>
      </c>
      <c r="D39" s="17"/>
      <c r="E39" s="17"/>
      <c r="F39" s="19"/>
      <c r="G39" s="20">
        <v>1.0</v>
      </c>
      <c r="H39" s="21"/>
      <c r="I39" s="21">
        <v>275.0</v>
      </c>
      <c r="J39" s="22">
        <v>1910.0</v>
      </c>
      <c r="K39" s="50"/>
      <c r="L39" s="21" t="str">
        <f>IF(K39&gt;0,K39*I39,"")</f>
      </c>
      <c r="M39" s="52"/>
      <c r="N39" t="str">
        <f>IF(K39&gt;0,COUNTIF($K$7:K39,"&gt;0"),"")</f>
      </c>
      <c r="O39" t="s">
        <v>135</v>
      </c>
      <c r="P39" t="s">
        <v>133</v>
      </c>
      <c r="Q39" t="s">
        <v>133</v>
      </c>
    </row>
    <row r="40" spans="1:18" customHeight="1" ht="58">
      <c r="A40" s="16"/>
      <c r="B40" s="18" t="s">
        <v>137</v>
      </c>
      <c r="C40" s="17" t="s">
        <v>138</v>
      </c>
      <c r="D40" s="17"/>
      <c r="E40" s="17"/>
      <c r="F40" s="19"/>
      <c r="G40" s="20">
        <v>1.0</v>
      </c>
      <c r="H40" s="21"/>
      <c r="I40" s="21">
        <v>270.0</v>
      </c>
      <c r="J40" s="22">
        <v>1249.0</v>
      </c>
      <c r="K40" s="50"/>
      <c r="L40" s="21" t="str">
        <f>IF(K40&gt;0,K40*I40,"")</f>
      </c>
      <c r="M40" s="52"/>
      <c r="N40" t="str">
        <f>IF(K40&gt;0,COUNTIF($K$7:K40,"&gt;0"),"")</f>
      </c>
      <c r="O40" t="s">
        <v>139</v>
      </c>
      <c r="P40" t="s">
        <v>136</v>
      </c>
      <c r="Q40" t="s">
        <v>136</v>
      </c>
    </row>
    <row r="41" spans="1:18" customHeight="1" ht="58">
      <c r="A41" s="16"/>
      <c r="B41" s="18" t="s">
        <v>137</v>
      </c>
      <c r="C41" s="17" t="s">
        <v>141</v>
      </c>
      <c r="D41" s="17"/>
      <c r="E41" s="17"/>
      <c r="F41" s="19"/>
      <c r="G41" s="20">
        <v>1.0</v>
      </c>
      <c r="H41" s="21"/>
      <c r="I41" s="21">
        <v>347.0</v>
      </c>
      <c r="J41" s="22">
        <v>1238.0</v>
      </c>
      <c r="K41" s="50"/>
      <c r="L41" s="21" t="str">
        <f>IF(K41&gt;0,K41*I41,"")</f>
      </c>
      <c r="M41" s="52"/>
      <c r="N41" t="str">
        <f>IF(K41&gt;0,COUNTIF($K$7:K41,"&gt;0"),"")</f>
      </c>
      <c r="O41" t="s">
        <v>142</v>
      </c>
      <c r="P41" t="s">
        <v>140</v>
      </c>
      <c r="Q41" t="s">
        <v>140</v>
      </c>
    </row>
    <row r="42" spans="1:18" customHeight="1" ht="58">
      <c r="A42" s="16"/>
      <c r="B42" s="18" t="s">
        <v>137</v>
      </c>
      <c r="C42" s="17" t="s">
        <v>144</v>
      </c>
      <c r="D42" s="17"/>
      <c r="E42" s="17"/>
      <c r="F42" s="19"/>
      <c r="G42" s="20">
        <v>1.0</v>
      </c>
      <c r="H42" s="21"/>
      <c r="I42" s="21">
        <v>424.0</v>
      </c>
      <c r="J42" s="22">
        <v>1219.0</v>
      </c>
      <c r="K42" s="50"/>
      <c r="L42" s="21" t="str">
        <f>IF(K42&gt;0,K42*I42,"")</f>
      </c>
      <c r="M42" s="52"/>
      <c r="N42" t="str">
        <f>IF(K42&gt;0,COUNTIF($K$7:K42,"&gt;0"),"")</f>
      </c>
      <c r="O42" t="s">
        <v>145</v>
      </c>
      <c r="P42" t="s">
        <v>143</v>
      </c>
      <c r="Q42" t="s">
        <v>143</v>
      </c>
    </row>
    <row r="43" spans="1:18" customHeight="1" ht="58">
      <c r="A43" s="16"/>
      <c r="B43" s="18" t="s">
        <v>137</v>
      </c>
      <c r="C43" s="17" t="s">
        <v>147</v>
      </c>
      <c r="D43" s="17"/>
      <c r="E43" s="17"/>
      <c r="F43" s="19"/>
      <c r="G43" s="20">
        <v>1.0</v>
      </c>
      <c r="H43" s="21"/>
      <c r="I43" s="21">
        <v>479.0</v>
      </c>
      <c r="J43" s="22">
        <v>143.0</v>
      </c>
      <c r="K43" s="50"/>
      <c r="L43" s="21" t="str">
        <f>IF(K43&gt;0,K43*I43,"")</f>
      </c>
      <c r="M43" s="52"/>
      <c r="N43" t="str">
        <f>IF(K43&gt;0,COUNTIF($K$7:K43,"&gt;0"),"")</f>
      </c>
      <c r="O43" t="s">
        <v>148</v>
      </c>
      <c r="P43" t="s">
        <v>146</v>
      </c>
      <c r="Q43" t="s">
        <v>146</v>
      </c>
    </row>
    <row r="44" spans="1:18" customHeight="1" ht="58">
      <c r="A44" s="16"/>
      <c r="B44" s="18" t="s">
        <v>150</v>
      </c>
      <c r="C44" s="17" t="s">
        <v>151</v>
      </c>
      <c r="D44" s="17"/>
      <c r="E44" s="17"/>
      <c r="F44" s="19"/>
      <c r="G44" s="20">
        <v>1.0</v>
      </c>
      <c r="H44" s="21"/>
      <c r="I44" s="21">
        <v>347.0</v>
      </c>
      <c r="J44" s="22">
        <v>139.0</v>
      </c>
      <c r="K44" s="50"/>
      <c r="L44" s="21" t="str">
        <f>IF(K44&gt;0,K44*I44,"")</f>
      </c>
      <c r="M44" s="52"/>
      <c r="N44" t="str">
        <f>IF(K44&gt;0,COUNTIF($K$7:K44,"&gt;0"),"")</f>
      </c>
      <c r="O44" t="s">
        <v>152</v>
      </c>
      <c r="P44" t="s">
        <v>149</v>
      </c>
      <c r="Q44" t="s">
        <v>149</v>
      </c>
    </row>
    <row r="45" spans="1:18" customHeight="1" ht="58">
      <c r="A45" s="16"/>
      <c r="B45" s="18" t="s">
        <v>154</v>
      </c>
      <c r="C45" s="17" t="s">
        <v>155</v>
      </c>
      <c r="D45" s="17" t="s">
        <v>156</v>
      </c>
      <c r="E45" s="17" t="s">
        <v>157</v>
      </c>
      <c r="F45" s="19"/>
      <c r="G45" s="20">
        <v>1.0</v>
      </c>
      <c r="H45" s="21"/>
      <c r="I45" s="21">
        <v>187.0</v>
      </c>
      <c r="J45" s="22">
        <v>1431.0</v>
      </c>
      <c r="K45" s="50"/>
      <c r="L45" s="21" t="str">
        <f>IF(K45&gt;0,K45*I45,"")</f>
      </c>
      <c r="M45" s="52"/>
      <c r="N45" t="str">
        <f>IF(K45&gt;0,COUNTIF($K$7:K45,"&gt;0"),"")</f>
      </c>
      <c r="O45" t="s">
        <v>158</v>
      </c>
      <c r="P45" t="s">
        <v>153</v>
      </c>
      <c r="Q45" t="s">
        <v>153</v>
      </c>
    </row>
    <row r="46" spans="1:18" customHeight="1" ht="58">
      <c r="A46" s="16"/>
      <c r="B46" s="18" t="s">
        <v>154</v>
      </c>
      <c r="C46" s="17" t="s">
        <v>155</v>
      </c>
      <c r="D46" s="17" t="s">
        <v>160</v>
      </c>
      <c r="E46" s="17" t="s">
        <v>157</v>
      </c>
      <c r="F46" s="19"/>
      <c r="G46" s="20">
        <v>1.0</v>
      </c>
      <c r="H46" s="21"/>
      <c r="I46" s="21">
        <v>187.0</v>
      </c>
      <c r="J46" s="22">
        <v>1255.0</v>
      </c>
      <c r="K46" s="50"/>
      <c r="L46" s="21" t="str">
        <f>IF(K46&gt;0,K46*I46,"")</f>
      </c>
      <c r="M46" s="52"/>
      <c r="N46" t="str">
        <f>IF(K46&gt;0,COUNTIF($K$7:K46,"&gt;0"),"")</f>
      </c>
      <c r="O46" t="s">
        <v>161</v>
      </c>
      <c r="P46" t="s">
        <v>159</v>
      </c>
      <c r="Q46" t="s">
        <v>159</v>
      </c>
    </row>
    <row r="47" spans="1:18" customHeight="1" ht="58">
      <c r="A47" s="16"/>
      <c r="B47" s="18" t="s">
        <v>154</v>
      </c>
      <c r="C47" s="17" t="s">
        <v>155</v>
      </c>
      <c r="D47" s="17" t="s">
        <v>163</v>
      </c>
      <c r="E47" s="17" t="s">
        <v>157</v>
      </c>
      <c r="F47" s="19"/>
      <c r="G47" s="20">
        <v>1.0</v>
      </c>
      <c r="H47" s="21"/>
      <c r="I47" s="21">
        <v>132.0</v>
      </c>
      <c r="J47" s="22">
        <v>1813.0</v>
      </c>
      <c r="K47" s="50"/>
      <c r="L47" s="21" t="str">
        <f>IF(K47&gt;0,K47*I47,"")</f>
      </c>
      <c r="M47" s="52"/>
      <c r="N47" t="str">
        <f>IF(K47&gt;0,COUNTIF($K$7:K47,"&gt;0"),"")</f>
      </c>
      <c r="O47" t="s">
        <v>164</v>
      </c>
      <c r="P47" t="s">
        <v>162</v>
      </c>
      <c r="Q47" t="s">
        <v>162</v>
      </c>
    </row>
    <row r="48" spans="1:18" customHeight="1" ht="58">
      <c r="A48" s="16"/>
      <c r="B48" s="18" t="s">
        <v>154</v>
      </c>
      <c r="C48" s="17" t="s">
        <v>155</v>
      </c>
      <c r="D48" s="17" t="s">
        <v>166</v>
      </c>
      <c r="E48" s="17" t="s">
        <v>157</v>
      </c>
      <c r="F48" s="19"/>
      <c r="G48" s="20">
        <v>1.0</v>
      </c>
      <c r="H48" s="21"/>
      <c r="I48" s="21">
        <v>187.0</v>
      </c>
      <c r="J48" s="22">
        <v>1471.0</v>
      </c>
      <c r="K48" s="50"/>
      <c r="L48" s="21" t="str">
        <f>IF(K48&gt;0,K48*I48,"")</f>
      </c>
      <c r="M48" s="52"/>
      <c r="N48" t="str">
        <f>IF(K48&gt;0,COUNTIF($K$7:K48,"&gt;0"),"")</f>
      </c>
      <c r="O48" t="s">
        <v>167</v>
      </c>
      <c r="P48" t="s">
        <v>165</v>
      </c>
      <c r="Q48" t="s">
        <v>165</v>
      </c>
    </row>
    <row r="49" spans="1:18" customHeight="1" ht="58">
      <c r="A49" s="16"/>
      <c r="B49" s="18" t="s">
        <v>154</v>
      </c>
      <c r="C49" s="17" t="s">
        <v>155</v>
      </c>
      <c r="D49" s="17" t="s">
        <v>169</v>
      </c>
      <c r="E49" s="17" t="s">
        <v>157</v>
      </c>
      <c r="F49" s="19"/>
      <c r="G49" s="20">
        <v>1.0</v>
      </c>
      <c r="H49" s="21"/>
      <c r="I49" s="21">
        <v>187.0</v>
      </c>
      <c r="J49" s="22">
        <v>1640.0</v>
      </c>
      <c r="K49" s="50"/>
      <c r="L49" s="21" t="str">
        <f>IF(K49&gt;0,K49*I49,"")</f>
      </c>
      <c r="M49" s="52"/>
      <c r="N49" t="str">
        <f>IF(K49&gt;0,COUNTIF($K$7:K49,"&gt;0"),"")</f>
      </c>
      <c r="O49" t="s">
        <v>170</v>
      </c>
      <c r="P49" t="s">
        <v>168</v>
      </c>
      <c r="Q49" t="s">
        <v>168</v>
      </c>
    </row>
    <row r="50" spans="1:18" customHeight="1" ht="58">
      <c r="A50" s="16"/>
      <c r="B50" s="18" t="s">
        <v>172</v>
      </c>
      <c r="C50" s="17" t="s">
        <v>173</v>
      </c>
      <c r="D50" s="17"/>
      <c r="E50" s="17"/>
      <c r="F50" s="19"/>
      <c r="G50" s="20">
        <v>1.0</v>
      </c>
      <c r="H50" s="21"/>
      <c r="I50" s="21">
        <v>242.0</v>
      </c>
      <c r="J50" s="22">
        <v>1270.0</v>
      </c>
      <c r="K50" s="50"/>
      <c r="L50" s="21" t="str">
        <f>IF(K50&gt;0,K50*I50,"")</f>
      </c>
      <c r="M50" s="52"/>
      <c r="N50" t="str">
        <f>IF(K50&gt;0,COUNTIF($K$7:K50,"&gt;0"),"")</f>
      </c>
      <c r="O50" t="s">
        <v>174</v>
      </c>
      <c r="P50" t="s">
        <v>171</v>
      </c>
      <c r="Q50" t="s">
        <v>171</v>
      </c>
    </row>
    <row r="51" spans="1:18" customHeight="1" ht="58">
      <c r="A51" s="16"/>
      <c r="B51" s="18" t="s">
        <v>172</v>
      </c>
      <c r="C51" s="17" t="s">
        <v>176</v>
      </c>
      <c r="D51" s="17"/>
      <c r="E51" s="17"/>
      <c r="F51" s="19"/>
      <c r="G51" s="20">
        <v>1.0</v>
      </c>
      <c r="H51" s="21"/>
      <c r="I51" s="21">
        <v>242.0</v>
      </c>
      <c r="J51" s="22">
        <v>1780.0</v>
      </c>
      <c r="K51" s="50"/>
      <c r="L51" s="21" t="str">
        <f>IF(K51&gt;0,K51*I51,"")</f>
      </c>
      <c r="M51" s="52"/>
      <c r="N51" t="str">
        <f>IF(K51&gt;0,COUNTIF($K$7:K51,"&gt;0"),"")</f>
      </c>
      <c r="O51" t="s">
        <v>177</v>
      </c>
      <c r="P51" t="s">
        <v>175</v>
      </c>
      <c r="Q51" t="s">
        <v>175</v>
      </c>
    </row>
    <row r="52" spans="1:18" customHeight="1" ht="58">
      <c r="A52" s="16"/>
      <c r="B52" s="18" t="s">
        <v>172</v>
      </c>
      <c r="C52" s="17" t="s">
        <v>179</v>
      </c>
      <c r="D52" s="17"/>
      <c r="E52" s="17"/>
      <c r="F52" s="19"/>
      <c r="G52" s="20">
        <v>1.0</v>
      </c>
      <c r="H52" s="21"/>
      <c r="I52" s="21">
        <v>242.0</v>
      </c>
      <c r="J52" s="22">
        <v>1483.0</v>
      </c>
      <c r="K52" s="50"/>
      <c r="L52" s="21" t="str">
        <f>IF(K52&gt;0,K52*I52,"")</f>
      </c>
      <c r="M52" s="52"/>
      <c r="N52" t="str">
        <f>IF(K52&gt;0,COUNTIF($K$7:K52,"&gt;0"),"")</f>
      </c>
      <c r="O52" t="s">
        <v>180</v>
      </c>
      <c r="P52" t="s">
        <v>178</v>
      </c>
      <c r="Q52" t="s">
        <v>178</v>
      </c>
    </row>
    <row r="53" spans="1:18" customHeight="1" ht="58">
      <c r="A53" s="16"/>
      <c r="B53" s="18" t="s">
        <v>172</v>
      </c>
      <c r="C53" s="17" t="s">
        <v>182</v>
      </c>
      <c r="D53" s="17"/>
      <c r="E53" s="17"/>
      <c r="F53" s="19"/>
      <c r="G53" s="20">
        <v>1.0</v>
      </c>
      <c r="H53" s="21"/>
      <c r="I53" s="21">
        <v>242.0</v>
      </c>
      <c r="J53" s="22">
        <v>1774.0</v>
      </c>
      <c r="K53" s="50"/>
      <c r="L53" s="21" t="str">
        <f>IF(K53&gt;0,K53*I53,"")</f>
      </c>
      <c r="M53" s="52"/>
      <c r="N53" t="str">
        <f>IF(K53&gt;0,COUNTIF($K$7:K53,"&gt;0"),"")</f>
      </c>
      <c r="O53" t="s">
        <v>183</v>
      </c>
      <c r="P53" t="s">
        <v>181</v>
      </c>
      <c r="Q53" t="s">
        <v>181</v>
      </c>
    </row>
    <row r="54" spans="1:18" customHeight="1" ht="58">
      <c r="A54" s="16"/>
      <c r="B54" s="18" t="s">
        <v>172</v>
      </c>
      <c r="C54" s="17" t="s">
        <v>185</v>
      </c>
      <c r="D54" s="17"/>
      <c r="E54" s="17"/>
      <c r="F54" s="19"/>
      <c r="G54" s="20">
        <v>1.0</v>
      </c>
      <c r="H54" s="21"/>
      <c r="I54" s="21">
        <v>154.0</v>
      </c>
      <c r="J54" s="22">
        <v>1425.0</v>
      </c>
      <c r="K54" s="50"/>
      <c r="L54" s="21" t="str">
        <f>IF(K54&gt;0,K54*I54,"")</f>
      </c>
      <c r="M54" s="52"/>
      <c r="N54" t="str">
        <f>IF(K54&gt;0,COUNTIF($K$7:K54,"&gt;0"),"")</f>
      </c>
      <c r="O54" t="s">
        <v>186</v>
      </c>
      <c r="P54" t="s">
        <v>184</v>
      </c>
      <c r="Q54" t="s">
        <v>184</v>
      </c>
    </row>
    <row r="56" spans="1:18">
      <c r="I56" s="30" t="s">
        <v>187</v>
      </c>
      <c r="J56" s="33"/>
      <c r="K56" s="36" t="str">
        <f>COUNTIF(K7:K54,"&gt;0")</f>
      </c>
    </row>
    <row r="57" spans="1:18">
      <c r="I57" s="31" t="s">
        <v>188</v>
      </c>
      <c r="J57" s="34"/>
      <c r="K57" s="37" t="str">
        <f>SUM(K7:K54)</f>
      </c>
    </row>
    <row r="58" spans="1:18">
      <c r="I58" s="32" t="s">
        <v>189</v>
      </c>
      <c r="J58" s="35"/>
      <c r="K58" s="38" t="str">
        <f>SUM(L7:L54)</f>
      </c>
    </row>
  </sheetData>
  <sheetProtection sheet="1"/>
  <mergeCells>
    <mergeCell ref="A1:M1"/>
    <mergeCell ref="B2:C2"/>
    <mergeCell ref="B3:C3"/>
    <mergeCell ref="B4:C4"/>
    <mergeCell ref="B5:C5"/>
    <mergeCell ref="E2:F2"/>
    <mergeCell ref="E3:F3"/>
    <mergeCell ref="E4:F4"/>
    <mergeCell ref="E5:F5"/>
    <mergeCell ref="G2:I2"/>
    <mergeCell ref="G3:I4"/>
    <mergeCell ref="J2:L5"/>
    <mergeCell ref="A7:M7"/>
    <mergeCell ref="I56:J56"/>
    <mergeCell ref="I57:J57"/>
    <mergeCell ref="I58:J58"/>
    <mergeCell ref="G5:I5"/>
  </mergeCells>
  <conditionalFormatting sqref="A7:M54">
    <cfRule type="expression" dxfId="0" priority="1">
      <formula>AND($G$3&lt;&gt;"",ISNUMBER(SEARCH($G$3,$B7&amp;" "&amp;$C7&amp;" "&amp;$D7&amp;" "&amp;$E7)))</formula>
    </cfRule>
    <cfRule type="expression" dxfId="1" priority="2">
      <formula>$K7&gt;0</formula>
    </cfRule>
  </conditionalFormatting>
  <conditionalFormatting sqref="K7:K54">
    <cfRule type="expression" dxfId="2" priority="3">
      <formula>AND($K7&gt;$J7,$K7&gt;0)</formula>
    </cfRule>
  </conditionalFormatting>
  <dataValidations count="1"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8:K54">
      <formula1>0</formula1>
    </dataValidation>
  </dataValidations>
  <hyperlinks>
    <hyperlink ref="B8" r:id="rId_hyperlink_1" tooltip="Открыть карточку товара на сайте" display="Открыть карточку товара на сайте"/>
    <hyperlink ref="B9" r:id="rId_hyperlink_2" tooltip="Открыть карточку товара на сайте" display="Открыть карточку товара на сайте"/>
    <hyperlink ref="B10" r:id="rId_hyperlink_3" tooltip="Открыть карточку товара на сайте" display="Открыть карточку товара на сайте"/>
    <hyperlink ref="B11" r:id="rId_hyperlink_4" tooltip="Открыть карточку товара на сайте" display="Открыть карточку товара на сайте"/>
    <hyperlink ref="B12" r:id="rId_hyperlink_5" tooltip="Открыть карточку товара на сайте" display="Открыть карточку товара на сайте"/>
    <hyperlink ref="B13" r:id="rId_hyperlink_6" tooltip="Открыть карточку товара на сайте" display="Открыть карточку товара на сайте"/>
    <hyperlink ref="B14" r:id="rId_hyperlink_7" tooltip="Открыть карточку товара на сайте" display="Открыть карточку товара на сайте"/>
    <hyperlink ref="B15" r:id="rId_hyperlink_8" tooltip="Открыть карточку товара на сайте" display="Открыть карточку товара на сайте"/>
    <hyperlink ref="B16" r:id="rId_hyperlink_9" tooltip="Открыть карточку товара на сайте" display="Открыть карточку товара на сайте"/>
    <hyperlink ref="B17" r:id="rId_hyperlink_10" tooltip="Открыть карточку товара на сайте" display="Открыть карточку товара на сайте"/>
    <hyperlink ref="B18" r:id="rId_hyperlink_11" tooltip="Открыть карточку товара на сайте" display="Открыть карточку товара на сайте"/>
    <hyperlink ref="B19" r:id="rId_hyperlink_12" tooltip="Открыть карточку товара на сайте" display="Открыть карточку товара на сайте"/>
    <hyperlink ref="B20" r:id="rId_hyperlink_13" tooltip="Открыть карточку товара на сайте" display="Открыть карточку товара на сайте"/>
    <hyperlink ref="B21" r:id="rId_hyperlink_14" tooltip="Открыть карточку товара на сайте" display="Открыть карточку товара на сайте"/>
    <hyperlink ref="B22" r:id="rId_hyperlink_15" tooltip="Открыть карточку товара на сайте" display="Открыть карточку товара на сайте"/>
    <hyperlink ref="B23" r:id="rId_hyperlink_16" tooltip="Открыть карточку товара на сайте" display="Открыть карточку товара на сайте"/>
    <hyperlink ref="B24" r:id="rId_hyperlink_17" tooltip="Открыть карточку товара на сайте" display="Открыть карточку товара на сайте"/>
    <hyperlink ref="B25" r:id="rId_hyperlink_18" tooltip="Открыть карточку товара на сайте" display="Открыть карточку товара на сайте"/>
    <hyperlink ref="B26" r:id="rId_hyperlink_19" tooltip="Открыть карточку товара на сайте" display="Открыть карточку товара на сайте"/>
    <hyperlink ref="B27" r:id="rId_hyperlink_20" tooltip="Открыть карточку товара на сайте" display="Открыть карточку товара на сайте"/>
    <hyperlink ref="B28" r:id="rId_hyperlink_21" tooltip="Открыть карточку товара на сайте" display="Открыть карточку товара на сайте"/>
    <hyperlink ref="B29" r:id="rId_hyperlink_22" tooltip="Открыть карточку товара на сайте" display="Открыть карточку товара на сайте"/>
    <hyperlink ref="B30" r:id="rId_hyperlink_23" tooltip="Открыть карточку товара на сайте" display="Открыть карточку товара на сайте"/>
    <hyperlink ref="B31" r:id="rId_hyperlink_24" tooltip="Открыть карточку товара на сайте" display="Открыть карточку товара на сайте"/>
    <hyperlink ref="B32" r:id="rId_hyperlink_25" tooltip="Открыть карточку товара на сайте" display="Открыть карточку товара на сайте"/>
    <hyperlink ref="B33" r:id="rId_hyperlink_26" tooltip="Открыть карточку товара на сайте" display="Открыть карточку товара на сайте"/>
    <hyperlink ref="B34" r:id="rId_hyperlink_27" tooltip="Открыть карточку товара на сайте" display="Открыть карточку товара на сайте"/>
    <hyperlink ref="B35" r:id="rId_hyperlink_28" tooltip="Открыть карточку товара на сайте" display="Открыть карточку товара на сайте"/>
    <hyperlink ref="B36" r:id="rId_hyperlink_29" tooltip="Открыть карточку товара на сайте" display="Открыть карточку товара на сайте"/>
    <hyperlink ref="B37" r:id="rId_hyperlink_30" tooltip="Открыть карточку товара на сайте" display="Открыть карточку товара на сайте"/>
    <hyperlink ref="B38" r:id="rId_hyperlink_31" tooltip="Открыть карточку товара на сайте" display="Открыть карточку товара на сайте"/>
    <hyperlink ref="B39" r:id="rId_hyperlink_32" tooltip="Открыть карточку товара на сайте" display="Открыть карточку товара на сайте"/>
    <hyperlink ref="B40" r:id="rId_hyperlink_33" tooltip="Открыть карточку товара на сайте" display="Открыть карточку товара на сайте"/>
    <hyperlink ref="B41" r:id="rId_hyperlink_34" tooltip="Открыть карточку товара на сайте" display="Открыть карточку товара на сайте"/>
    <hyperlink ref="B42" r:id="rId_hyperlink_35" tooltip="Открыть карточку товара на сайте" display="Открыть карточку товара на сайте"/>
    <hyperlink ref="B43" r:id="rId_hyperlink_36" tooltip="Открыть карточку товара на сайте" display="Открыть карточку товара на сайте"/>
    <hyperlink ref="B44" r:id="rId_hyperlink_37" tooltip="Открыть карточку товара на сайте" display="Открыть карточку товара на сайте"/>
    <hyperlink ref="B45" r:id="rId_hyperlink_38" tooltip="Открыть карточку товара на сайте" display="Открыть карточку товара на сайте"/>
    <hyperlink ref="B46" r:id="rId_hyperlink_39" tooltip="Открыть карточку товара на сайте" display="Открыть карточку товара на сайте"/>
    <hyperlink ref="B47" r:id="rId_hyperlink_40" tooltip="Открыть карточку товара на сайте" display="Открыть карточку товара на сайте"/>
    <hyperlink ref="B48" r:id="rId_hyperlink_41" tooltip="Открыть карточку товара на сайте" display="Открыть карточку товара на сайте"/>
    <hyperlink ref="B49" r:id="rId_hyperlink_42" tooltip="Открыть карточку товара на сайте" display="Открыть карточку товара на сайте"/>
    <hyperlink ref="B50" r:id="rId_hyperlink_43" tooltip="Открыть карточку товара на сайте" display="Открыть карточку товара на сайте"/>
    <hyperlink ref="B51" r:id="rId_hyperlink_44" tooltip="Открыть карточку товара на сайте" display="Открыть карточку товара на сайте"/>
    <hyperlink ref="B52" r:id="rId_hyperlink_45" tooltip="Открыть карточку товара на сайте" display="Открыть карточку товара на сайте"/>
    <hyperlink ref="B53" r:id="rId_hyperlink_46" tooltip="Открыть карточку товара на сайте" display="Открыть карточку товара на сайте"/>
    <hyperlink ref="B54" r:id="rId_hyperlink_47" tooltip="Открыть карточку товара на сайте" display="Открыть карточку товара на сайте"/>
  </hyperlinks>
  <printOptions gridLines="false" gridLinesSet="true"/>
  <pageMargins left="0.4" right="0.4" top="0.5" bottom="0.5" header="0.3" footer="0.3"/>
  <pageSetup paperSize="1" orientation="landscape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55"/>
  <sheetViews>
    <sheetView tabSelected="0" workbookViewId="0" showGridLines="true" showRowColHeaders="1">
      <pane ySplit="8" activePane="bottomLeft" state="frozen" topLeftCell="A9"/>
      <selection pane="bottomLeft" activeCell="K9" sqref="K9"/>
    </sheetView>
  </sheetViews>
  <sheetFormatPr defaultRowHeight="14.4" outlineLevelRow="0" outlineLevelCol="0"/>
  <cols>
    <col min="1" max="1" width="11" customWidth="true" style="0"/>
    <col min="2" max="2" width="12" customWidth="true" style="0"/>
    <col min="3" max="3" width="26" customWidth="true" style="0"/>
    <col min="4" max="4" width="32" customWidth="true" style="0"/>
    <col min="5" max="5" width="8" customWidth="true" style="0"/>
    <col min="6" max="6" width="12" customWidth="true" style="0"/>
    <col min="7" max="7" width="11" customWidth="true" style="0"/>
    <col min="8" max="8" width="14" customWidth="true" style="0"/>
    <col min="9" max="9" width="26" customWidth="true" style="0"/>
    <col min="10" max="10" width="9.10" hidden="true" style="0"/>
    <col min="12" max="12" width="9.10" hidden="true" style="0"/>
  </cols>
  <sheetData>
    <row r="1" spans="1:12" customHeight="1" ht="28">
      <c r="A1" s="53" t="s">
        <v>194</v>
      </c>
    </row>
    <row r="2" spans="1:12" customHeight="1" ht="26">
      <c r="A2" s="54" t="s">
        <v>195</v>
      </c>
    </row>
    <row r="3" spans="1:12">
      <c r="A3" s="12" t="s">
        <v>1</v>
      </c>
      <c r="B3" s="13" t="str">
        <f>IF('Прайс и заказ'!B2="","",'Прайс и заказ'!B2)</f>
      </c>
      <c r="C3" s="12" t="s">
        <v>3</v>
      </c>
      <c r="D3" s="13" t="str">
        <f>IF('Прайс и заказ'!B4="","",'Прайс и заказ'!B4)</f>
      </c>
      <c r="E3" s="12" t="s">
        <v>4</v>
      </c>
      <c r="F3" s="13" t="str">
        <f>IF('Прайс и заказ'!B5="","",'Прайс и заказ'!B5)</f>
      </c>
      <c r="G3" s="13"/>
      <c r="H3" s="13"/>
    </row>
    <row r="4" spans="1:12">
      <c r="A4" s="12" t="s">
        <v>2</v>
      </c>
      <c r="B4" s="13" t="str">
        <f>IF('Прайс и заказ'!B3="","",'Прайс и заказ'!B3)</f>
      </c>
      <c r="C4" s="12" t="s">
        <v>5</v>
      </c>
      <c r="D4" s="13" t="str">
        <f>IF('Прайс и заказ'!E2="","",'Прайс и заказ'!E2)</f>
      </c>
      <c r="E4" s="13"/>
      <c r="F4" s="13"/>
      <c r="G4" s="13"/>
      <c r="H4" s="13"/>
    </row>
    <row r="5" spans="1:12">
      <c r="A5" s="12" t="s">
        <v>6</v>
      </c>
      <c r="B5" s="13" t="str">
        <f>IF('Прайс и заказ'!E3="","",'Прайс и заказ'!E3)</f>
      </c>
      <c r="C5" s="12" t="s">
        <v>8</v>
      </c>
      <c r="D5" s="13" t="str">
        <f>IF('Прайс и заказ'!E4="","",'Прайс и заказ'!E4)</f>
      </c>
      <c r="E5" s="13"/>
      <c r="F5" s="13"/>
      <c r="G5" s="13"/>
      <c r="H5" s="13"/>
    </row>
    <row r="6" spans="1:12" customHeight="1" ht="22">
      <c r="A6" s="55" t="s">
        <v>196</v>
      </c>
      <c r="B6" s="56"/>
      <c r="C6" s="57" t="str">
        <f>'Прайс и заказ'!K56</f>
      </c>
      <c r="D6" s="58" t="s">
        <v>188</v>
      </c>
      <c r="E6" s="56"/>
      <c r="F6" s="57" t="str">
        <f>'Прайс и заказ'!K57</f>
      </c>
      <c r="G6" s="58" t="s">
        <v>189</v>
      </c>
      <c r="H6" s="56"/>
      <c r="I6" s="59" t="str">
        <f>'Прайс и заказ'!K58</f>
      </c>
    </row>
    <row r="8" spans="1:12" customHeight="1" ht="24">
      <c r="A8" s="60" t="s">
        <v>14</v>
      </c>
      <c r="B8" s="60" t="s">
        <v>15</v>
      </c>
      <c r="C8" s="60" t="s">
        <v>16</v>
      </c>
      <c r="D8" s="60" t="s">
        <v>17</v>
      </c>
      <c r="E8" s="60" t="s">
        <v>19</v>
      </c>
      <c r="F8" s="60" t="s">
        <v>197</v>
      </c>
      <c r="G8" s="60" t="s">
        <v>23</v>
      </c>
      <c r="H8" s="60" t="s">
        <v>24</v>
      </c>
      <c r="I8" s="60" t="s">
        <v>5</v>
      </c>
      <c r="J8" s="40" t="s">
        <v>190</v>
      </c>
      <c r="L8" s="40" t="s">
        <v>192</v>
      </c>
    </row>
    <row r="9" spans="1:12" customHeight="1" ht="40">
      <c r="A9" s="13" t="str">
        <f>IF($J9=0,"",IFERROR(_xlfn.IMAGE(INDEX('Прайс и заказ'!$O:$O,$J9)),""))</f>
      </c>
      <c r="B9" s="61" t="str">
        <f>IF($J9=0,"",IF(INDEX('Прайс и заказ'!B:B,$J9)="","",INDEX('Прайс и заказ'!B:B,$J9)))</f>
      </c>
      <c r="C9" s="64" t="str">
        <f>IF($J9=0,"",IF(INDEX('Прайс и заказ'!C:C,$J9)="","",INDEX('Прайс и заказ'!C:C,$J9)))</f>
      </c>
      <c r="D9" s="64" t="str">
        <f>IF($J9=0,"",IF(INDEX('Прайс и заказ'!D:D,$J9)="","",INDEX('Прайс и заказ'!D:D,$J9)))</f>
      </c>
      <c r="E9" s="61" t="str">
        <f>IF($J9=0,"",IF(INDEX('Прайс и заказ'!F:F,$J9)="","",INDEX('Прайс и заказ'!F:F,$J9)))</f>
      </c>
      <c r="F9" s="62" t="str">
        <f>IF($J9=0,"",IF(INDEX('Прайс и заказ'!I:I,$J9)="","",INDEX('Прайс и заказ'!I:I,$J9)))</f>
      </c>
      <c r="G9" s="63" t="str">
        <f>IF($J9=0,"",IF(INDEX('Прайс и заказ'!K:K,$J9)="","",INDEX('Прайс и заказ'!K:K,$J9)))</f>
      </c>
      <c r="H9" s="62" t="str">
        <f>IF($J9=0,"",IF(INDEX('Прайс и заказ'!L:L,$J9)="","",INDEX('Прайс и заказ'!L:L,$J9)))</f>
      </c>
      <c r="I9" s="13" t="str">
        <f>IF($J9=0,"",IF(INDEX('Прайс и заказ'!M:M,$J9)="","",INDEX('Прайс и заказ'!M:M,$J9)))</f>
      </c>
      <c r="J9" t="str">
        <f>IFERROR(MATCH(1,'Прайс и заказ'!$N$7:$N$54,0)+6,0)</f>
      </c>
      <c r="K9" s="65" t="str">
        <f>IF($J9=0,"← Пока ничего не выбрано — заполните колонку «Заказать» на листе «Прайс и заказ»","")</f>
      </c>
      <c r="L9" t="str">
        <f>IF($J9=0,"",IF(INDEX('Прайс и заказ'!Q:Q,$J9)="","",INDEX('Прайс и заказ'!Q:Q,$J9)))</f>
      </c>
    </row>
    <row r="10" spans="1:12" customHeight="1" ht="40">
      <c r="A10" s="13" t="str">
        <f>IF($J10=0,"",IFERROR(_xlfn.IMAGE(INDEX('Прайс и заказ'!$O:$O,$J10)),""))</f>
      </c>
      <c r="B10" s="61" t="str">
        <f>IF($J10=0,"",IF(INDEX('Прайс и заказ'!B:B,$J10)="","",INDEX('Прайс и заказ'!B:B,$J10)))</f>
      </c>
      <c r="C10" s="64" t="str">
        <f>IF($J10=0,"",IF(INDEX('Прайс и заказ'!C:C,$J10)="","",INDEX('Прайс и заказ'!C:C,$J10)))</f>
      </c>
      <c r="D10" s="64" t="str">
        <f>IF($J10=0,"",IF(INDEX('Прайс и заказ'!D:D,$J10)="","",INDEX('Прайс и заказ'!D:D,$J10)))</f>
      </c>
      <c r="E10" s="61" t="str">
        <f>IF($J10=0,"",IF(INDEX('Прайс и заказ'!F:F,$J10)="","",INDEX('Прайс и заказ'!F:F,$J10)))</f>
      </c>
      <c r="F10" s="62" t="str">
        <f>IF($J10=0,"",IF(INDEX('Прайс и заказ'!I:I,$J10)="","",INDEX('Прайс и заказ'!I:I,$J10)))</f>
      </c>
      <c r="G10" s="63" t="str">
        <f>IF($J10=0,"",IF(INDEX('Прайс и заказ'!K:K,$J10)="","",INDEX('Прайс и заказ'!K:K,$J10)))</f>
      </c>
      <c r="H10" s="62" t="str">
        <f>IF($J10=0,"",IF(INDEX('Прайс и заказ'!L:L,$J10)="","",INDEX('Прайс и заказ'!L:L,$J10)))</f>
      </c>
      <c r="I10" s="13" t="str">
        <f>IF($J10=0,"",IF(INDEX('Прайс и заказ'!M:M,$J10)="","",INDEX('Прайс и заказ'!M:M,$J10)))</f>
      </c>
      <c r="J10" t="str">
        <f>IFERROR(MATCH(2,'Прайс и заказ'!$N$7:$N$54,0)+6,0)</f>
      </c>
      <c r="L10" t="str">
        <f>IF($J10=0,"",IF(INDEX('Прайс и заказ'!Q:Q,$J10)="","",INDEX('Прайс и заказ'!Q:Q,$J10)))</f>
      </c>
    </row>
    <row r="11" spans="1:12" customHeight="1" ht="40">
      <c r="A11" s="13" t="str">
        <f>IF($J11=0,"",IFERROR(_xlfn.IMAGE(INDEX('Прайс и заказ'!$O:$O,$J11)),""))</f>
      </c>
      <c r="B11" s="61" t="str">
        <f>IF($J11=0,"",IF(INDEX('Прайс и заказ'!B:B,$J11)="","",INDEX('Прайс и заказ'!B:B,$J11)))</f>
      </c>
      <c r="C11" s="64" t="str">
        <f>IF($J11=0,"",IF(INDEX('Прайс и заказ'!C:C,$J11)="","",INDEX('Прайс и заказ'!C:C,$J11)))</f>
      </c>
      <c r="D11" s="64" t="str">
        <f>IF($J11=0,"",IF(INDEX('Прайс и заказ'!D:D,$J11)="","",INDEX('Прайс и заказ'!D:D,$J11)))</f>
      </c>
      <c r="E11" s="61" t="str">
        <f>IF($J11=0,"",IF(INDEX('Прайс и заказ'!F:F,$J11)="","",INDEX('Прайс и заказ'!F:F,$J11)))</f>
      </c>
      <c r="F11" s="62" t="str">
        <f>IF($J11=0,"",IF(INDEX('Прайс и заказ'!I:I,$J11)="","",INDEX('Прайс и заказ'!I:I,$J11)))</f>
      </c>
      <c r="G11" s="63" t="str">
        <f>IF($J11=0,"",IF(INDEX('Прайс и заказ'!K:K,$J11)="","",INDEX('Прайс и заказ'!K:K,$J11)))</f>
      </c>
      <c r="H11" s="62" t="str">
        <f>IF($J11=0,"",IF(INDEX('Прайс и заказ'!L:L,$J11)="","",INDEX('Прайс и заказ'!L:L,$J11)))</f>
      </c>
      <c r="I11" s="13" t="str">
        <f>IF($J11=0,"",IF(INDEX('Прайс и заказ'!M:M,$J11)="","",INDEX('Прайс и заказ'!M:M,$J11)))</f>
      </c>
      <c r="J11" t="str">
        <f>IFERROR(MATCH(3,'Прайс и заказ'!$N$7:$N$54,0)+6,0)</f>
      </c>
      <c r="L11" t="str">
        <f>IF($J11=0,"",IF(INDEX('Прайс и заказ'!Q:Q,$J11)="","",INDEX('Прайс и заказ'!Q:Q,$J11)))</f>
      </c>
    </row>
    <row r="12" spans="1:12" customHeight="1" ht="40">
      <c r="A12" s="13" t="str">
        <f>IF($J12=0,"",IFERROR(_xlfn.IMAGE(INDEX('Прайс и заказ'!$O:$O,$J12)),""))</f>
      </c>
      <c r="B12" s="61" t="str">
        <f>IF($J12=0,"",IF(INDEX('Прайс и заказ'!B:B,$J12)="","",INDEX('Прайс и заказ'!B:B,$J12)))</f>
      </c>
      <c r="C12" s="64" t="str">
        <f>IF($J12=0,"",IF(INDEX('Прайс и заказ'!C:C,$J12)="","",INDEX('Прайс и заказ'!C:C,$J12)))</f>
      </c>
      <c r="D12" s="64" t="str">
        <f>IF($J12=0,"",IF(INDEX('Прайс и заказ'!D:D,$J12)="","",INDEX('Прайс и заказ'!D:D,$J12)))</f>
      </c>
      <c r="E12" s="61" t="str">
        <f>IF($J12=0,"",IF(INDEX('Прайс и заказ'!F:F,$J12)="","",INDEX('Прайс и заказ'!F:F,$J12)))</f>
      </c>
      <c r="F12" s="62" t="str">
        <f>IF($J12=0,"",IF(INDEX('Прайс и заказ'!I:I,$J12)="","",INDEX('Прайс и заказ'!I:I,$J12)))</f>
      </c>
      <c r="G12" s="63" t="str">
        <f>IF($J12=0,"",IF(INDEX('Прайс и заказ'!K:K,$J12)="","",INDEX('Прайс и заказ'!K:K,$J12)))</f>
      </c>
      <c r="H12" s="62" t="str">
        <f>IF($J12=0,"",IF(INDEX('Прайс и заказ'!L:L,$J12)="","",INDEX('Прайс и заказ'!L:L,$J12)))</f>
      </c>
      <c r="I12" s="13" t="str">
        <f>IF($J12=0,"",IF(INDEX('Прайс и заказ'!M:M,$J12)="","",INDEX('Прайс и заказ'!M:M,$J12)))</f>
      </c>
      <c r="J12" t="str">
        <f>IFERROR(MATCH(4,'Прайс и заказ'!$N$7:$N$54,0)+6,0)</f>
      </c>
      <c r="L12" t="str">
        <f>IF($J12=0,"",IF(INDEX('Прайс и заказ'!Q:Q,$J12)="","",INDEX('Прайс и заказ'!Q:Q,$J12)))</f>
      </c>
    </row>
    <row r="13" spans="1:12" customHeight="1" ht="40">
      <c r="A13" s="13" t="str">
        <f>IF($J13=0,"",IFERROR(_xlfn.IMAGE(INDEX('Прайс и заказ'!$O:$O,$J13)),""))</f>
      </c>
      <c r="B13" s="61" t="str">
        <f>IF($J13=0,"",IF(INDEX('Прайс и заказ'!B:B,$J13)="","",INDEX('Прайс и заказ'!B:B,$J13)))</f>
      </c>
      <c r="C13" s="64" t="str">
        <f>IF($J13=0,"",IF(INDEX('Прайс и заказ'!C:C,$J13)="","",INDEX('Прайс и заказ'!C:C,$J13)))</f>
      </c>
      <c r="D13" s="64" t="str">
        <f>IF($J13=0,"",IF(INDEX('Прайс и заказ'!D:D,$J13)="","",INDEX('Прайс и заказ'!D:D,$J13)))</f>
      </c>
      <c r="E13" s="61" t="str">
        <f>IF($J13=0,"",IF(INDEX('Прайс и заказ'!F:F,$J13)="","",INDEX('Прайс и заказ'!F:F,$J13)))</f>
      </c>
      <c r="F13" s="62" t="str">
        <f>IF($J13=0,"",IF(INDEX('Прайс и заказ'!I:I,$J13)="","",INDEX('Прайс и заказ'!I:I,$J13)))</f>
      </c>
      <c r="G13" s="63" t="str">
        <f>IF($J13=0,"",IF(INDEX('Прайс и заказ'!K:K,$J13)="","",INDEX('Прайс и заказ'!K:K,$J13)))</f>
      </c>
      <c r="H13" s="62" t="str">
        <f>IF($J13=0,"",IF(INDEX('Прайс и заказ'!L:L,$J13)="","",INDEX('Прайс и заказ'!L:L,$J13)))</f>
      </c>
      <c r="I13" s="13" t="str">
        <f>IF($J13=0,"",IF(INDEX('Прайс и заказ'!M:M,$J13)="","",INDEX('Прайс и заказ'!M:M,$J13)))</f>
      </c>
      <c r="J13" t="str">
        <f>IFERROR(MATCH(5,'Прайс и заказ'!$N$7:$N$54,0)+6,0)</f>
      </c>
      <c r="L13" t="str">
        <f>IF($J13=0,"",IF(INDEX('Прайс и заказ'!Q:Q,$J13)="","",INDEX('Прайс и заказ'!Q:Q,$J13)))</f>
      </c>
    </row>
    <row r="14" spans="1:12" customHeight="1" ht="40">
      <c r="A14" s="13" t="str">
        <f>IF($J14=0,"",IFERROR(_xlfn.IMAGE(INDEX('Прайс и заказ'!$O:$O,$J14)),""))</f>
      </c>
      <c r="B14" s="61" t="str">
        <f>IF($J14=0,"",IF(INDEX('Прайс и заказ'!B:B,$J14)="","",INDEX('Прайс и заказ'!B:B,$J14)))</f>
      </c>
      <c r="C14" s="64" t="str">
        <f>IF($J14=0,"",IF(INDEX('Прайс и заказ'!C:C,$J14)="","",INDEX('Прайс и заказ'!C:C,$J14)))</f>
      </c>
      <c r="D14" s="64" t="str">
        <f>IF($J14=0,"",IF(INDEX('Прайс и заказ'!D:D,$J14)="","",INDEX('Прайс и заказ'!D:D,$J14)))</f>
      </c>
      <c r="E14" s="61" t="str">
        <f>IF($J14=0,"",IF(INDEX('Прайс и заказ'!F:F,$J14)="","",INDEX('Прайс и заказ'!F:F,$J14)))</f>
      </c>
      <c r="F14" s="62" t="str">
        <f>IF($J14=0,"",IF(INDEX('Прайс и заказ'!I:I,$J14)="","",INDEX('Прайс и заказ'!I:I,$J14)))</f>
      </c>
      <c r="G14" s="63" t="str">
        <f>IF($J14=0,"",IF(INDEX('Прайс и заказ'!K:K,$J14)="","",INDEX('Прайс и заказ'!K:K,$J14)))</f>
      </c>
      <c r="H14" s="62" t="str">
        <f>IF($J14=0,"",IF(INDEX('Прайс и заказ'!L:L,$J14)="","",INDEX('Прайс и заказ'!L:L,$J14)))</f>
      </c>
      <c r="I14" s="13" t="str">
        <f>IF($J14=0,"",IF(INDEX('Прайс и заказ'!M:M,$J14)="","",INDEX('Прайс и заказ'!M:M,$J14)))</f>
      </c>
      <c r="J14" t="str">
        <f>IFERROR(MATCH(6,'Прайс и заказ'!$N$7:$N$54,0)+6,0)</f>
      </c>
      <c r="L14" t="str">
        <f>IF($J14=0,"",IF(INDEX('Прайс и заказ'!Q:Q,$J14)="","",INDEX('Прайс и заказ'!Q:Q,$J14)))</f>
      </c>
    </row>
    <row r="15" spans="1:12" customHeight="1" ht="40">
      <c r="A15" s="13" t="str">
        <f>IF($J15=0,"",IFERROR(_xlfn.IMAGE(INDEX('Прайс и заказ'!$O:$O,$J15)),""))</f>
      </c>
      <c r="B15" s="61" t="str">
        <f>IF($J15=0,"",IF(INDEX('Прайс и заказ'!B:B,$J15)="","",INDEX('Прайс и заказ'!B:B,$J15)))</f>
      </c>
      <c r="C15" s="64" t="str">
        <f>IF($J15=0,"",IF(INDEX('Прайс и заказ'!C:C,$J15)="","",INDEX('Прайс и заказ'!C:C,$J15)))</f>
      </c>
      <c r="D15" s="64" t="str">
        <f>IF($J15=0,"",IF(INDEX('Прайс и заказ'!D:D,$J15)="","",INDEX('Прайс и заказ'!D:D,$J15)))</f>
      </c>
      <c r="E15" s="61" t="str">
        <f>IF($J15=0,"",IF(INDEX('Прайс и заказ'!F:F,$J15)="","",INDEX('Прайс и заказ'!F:F,$J15)))</f>
      </c>
      <c r="F15" s="62" t="str">
        <f>IF($J15=0,"",IF(INDEX('Прайс и заказ'!I:I,$J15)="","",INDEX('Прайс и заказ'!I:I,$J15)))</f>
      </c>
      <c r="G15" s="63" t="str">
        <f>IF($J15=0,"",IF(INDEX('Прайс и заказ'!K:K,$J15)="","",INDEX('Прайс и заказ'!K:K,$J15)))</f>
      </c>
      <c r="H15" s="62" t="str">
        <f>IF($J15=0,"",IF(INDEX('Прайс и заказ'!L:L,$J15)="","",INDEX('Прайс и заказ'!L:L,$J15)))</f>
      </c>
      <c r="I15" s="13" t="str">
        <f>IF($J15=0,"",IF(INDEX('Прайс и заказ'!M:M,$J15)="","",INDEX('Прайс и заказ'!M:M,$J15)))</f>
      </c>
      <c r="J15" t="str">
        <f>IFERROR(MATCH(7,'Прайс и заказ'!$N$7:$N$54,0)+6,0)</f>
      </c>
      <c r="L15" t="str">
        <f>IF($J15=0,"",IF(INDEX('Прайс и заказ'!Q:Q,$J15)="","",INDEX('Прайс и заказ'!Q:Q,$J15)))</f>
      </c>
    </row>
    <row r="16" spans="1:12" customHeight="1" ht="40">
      <c r="A16" s="13" t="str">
        <f>IF($J16=0,"",IFERROR(_xlfn.IMAGE(INDEX('Прайс и заказ'!$O:$O,$J16)),""))</f>
      </c>
      <c r="B16" s="61" t="str">
        <f>IF($J16=0,"",IF(INDEX('Прайс и заказ'!B:B,$J16)="","",INDEX('Прайс и заказ'!B:B,$J16)))</f>
      </c>
      <c r="C16" s="64" t="str">
        <f>IF($J16=0,"",IF(INDEX('Прайс и заказ'!C:C,$J16)="","",INDEX('Прайс и заказ'!C:C,$J16)))</f>
      </c>
      <c r="D16" s="64" t="str">
        <f>IF($J16=0,"",IF(INDEX('Прайс и заказ'!D:D,$J16)="","",INDEX('Прайс и заказ'!D:D,$J16)))</f>
      </c>
      <c r="E16" s="61" t="str">
        <f>IF($J16=0,"",IF(INDEX('Прайс и заказ'!F:F,$J16)="","",INDEX('Прайс и заказ'!F:F,$J16)))</f>
      </c>
      <c r="F16" s="62" t="str">
        <f>IF($J16=0,"",IF(INDEX('Прайс и заказ'!I:I,$J16)="","",INDEX('Прайс и заказ'!I:I,$J16)))</f>
      </c>
      <c r="G16" s="63" t="str">
        <f>IF($J16=0,"",IF(INDEX('Прайс и заказ'!K:K,$J16)="","",INDEX('Прайс и заказ'!K:K,$J16)))</f>
      </c>
      <c r="H16" s="62" t="str">
        <f>IF($J16=0,"",IF(INDEX('Прайс и заказ'!L:L,$J16)="","",INDEX('Прайс и заказ'!L:L,$J16)))</f>
      </c>
      <c r="I16" s="13" t="str">
        <f>IF($J16=0,"",IF(INDEX('Прайс и заказ'!M:M,$J16)="","",INDEX('Прайс и заказ'!M:M,$J16)))</f>
      </c>
      <c r="J16" t="str">
        <f>IFERROR(MATCH(8,'Прайс и заказ'!$N$7:$N$54,0)+6,0)</f>
      </c>
      <c r="L16" t="str">
        <f>IF($J16=0,"",IF(INDEX('Прайс и заказ'!Q:Q,$J16)="","",INDEX('Прайс и заказ'!Q:Q,$J16)))</f>
      </c>
    </row>
    <row r="17" spans="1:12" customHeight="1" ht="40">
      <c r="A17" s="13" t="str">
        <f>IF($J17=0,"",IFERROR(_xlfn.IMAGE(INDEX('Прайс и заказ'!$O:$O,$J17)),""))</f>
      </c>
      <c r="B17" s="61" t="str">
        <f>IF($J17=0,"",IF(INDEX('Прайс и заказ'!B:B,$J17)="","",INDEX('Прайс и заказ'!B:B,$J17)))</f>
      </c>
      <c r="C17" s="64" t="str">
        <f>IF($J17=0,"",IF(INDEX('Прайс и заказ'!C:C,$J17)="","",INDEX('Прайс и заказ'!C:C,$J17)))</f>
      </c>
      <c r="D17" s="64" t="str">
        <f>IF($J17=0,"",IF(INDEX('Прайс и заказ'!D:D,$J17)="","",INDEX('Прайс и заказ'!D:D,$J17)))</f>
      </c>
      <c r="E17" s="61" t="str">
        <f>IF($J17=0,"",IF(INDEX('Прайс и заказ'!F:F,$J17)="","",INDEX('Прайс и заказ'!F:F,$J17)))</f>
      </c>
      <c r="F17" s="62" t="str">
        <f>IF($J17=0,"",IF(INDEX('Прайс и заказ'!I:I,$J17)="","",INDEX('Прайс и заказ'!I:I,$J17)))</f>
      </c>
      <c r="G17" s="63" t="str">
        <f>IF($J17=0,"",IF(INDEX('Прайс и заказ'!K:K,$J17)="","",INDEX('Прайс и заказ'!K:K,$J17)))</f>
      </c>
      <c r="H17" s="62" t="str">
        <f>IF($J17=0,"",IF(INDEX('Прайс и заказ'!L:L,$J17)="","",INDEX('Прайс и заказ'!L:L,$J17)))</f>
      </c>
      <c r="I17" s="13" t="str">
        <f>IF($J17=0,"",IF(INDEX('Прайс и заказ'!M:M,$J17)="","",INDEX('Прайс и заказ'!M:M,$J17)))</f>
      </c>
      <c r="J17" t="str">
        <f>IFERROR(MATCH(9,'Прайс и заказ'!$N$7:$N$54,0)+6,0)</f>
      </c>
      <c r="L17" t="str">
        <f>IF($J17=0,"",IF(INDEX('Прайс и заказ'!Q:Q,$J17)="","",INDEX('Прайс и заказ'!Q:Q,$J17)))</f>
      </c>
    </row>
    <row r="18" spans="1:12" customHeight="1" ht="40">
      <c r="A18" s="13" t="str">
        <f>IF($J18=0,"",IFERROR(_xlfn.IMAGE(INDEX('Прайс и заказ'!$O:$O,$J18)),""))</f>
      </c>
      <c r="B18" s="61" t="str">
        <f>IF($J18=0,"",IF(INDEX('Прайс и заказ'!B:B,$J18)="","",INDEX('Прайс и заказ'!B:B,$J18)))</f>
      </c>
      <c r="C18" s="64" t="str">
        <f>IF($J18=0,"",IF(INDEX('Прайс и заказ'!C:C,$J18)="","",INDEX('Прайс и заказ'!C:C,$J18)))</f>
      </c>
      <c r="D18" s="64" t="str">
        <f>IF($J18=0,"",IF(INDEX('Прайс и заказ'!D:D,$J18)="","",INDEX('Прайс и заказ'!D:D,$J18)))</f>
      </c>
      <c r="E18" s="61" t="str">
        <f>IF($J18=0,"",IF(INDEX('Прайс и заказ'!F:F,$J18)="","",INDEX('Прайс и заказ'!F:F,$J18)))</f>
      </c>
      <c r="F18" s="62" t="str">
        <f>IF($J18=0,"",IF(INDEX('Прайс и заказ'!I:I,$J18)="","",INDEX('Прайс и заказ'!I:I,$J18)))</f>
      </c>
      <c r="G18" s="63" t="str">
        <f>IF($J18=0,"",IF(INDEX('Прайс и заказ'!K:K,$J18)="","",INDEX('Прайс и заказ'!K:K,$J18)))</f>
      </c>
      <c r="H18" s="62" t="str">
        <f>IF($J18=0,"",IF(INDEX('Прайс и заказ'!L:L,$J18)="","",INDEX('Прайс и заказ'!L:L,$J18)))</f>
      </c>
      <c r="I18" s="13" t="str">
        <f>IF($J18=0,"",IF(INDEX('Прайс и заказ'!M:M,$J18)="","",INDEX('Прайс и заказ'!M:M,$J18)))</f>
      </c>
      <c r="J18" t="str">
        <f>IFERROR(MATCH(10,'Прайс и заказ'!$N$7:$N$54,0)+6,0)</f>
      </c>
      <c r="L18" t="str">
        <f>IF($J18=0,"",IF(INDEX('Прайс и заказ'!Q:Q,$J18)="","",INDEX('Прайс и заказ'!Q:Q,$J18)))</f>
      </c>
    </row>
    <row r="19" spans="1:12" customHeight="1" ht="40">
      <c r="A19" s="13" t="str">
        <f>IF($J19=0,"",IFERROR(_xlfn.IMAGE(INDEX('Прайс и заказ'!$O:$O,$J19)),""))</f>
      </c>
      <c r="B19" s="61" t="str">
        <f>IF($J19=0,"",IF(INDEX('Прайс и заказ'!B:B,$J19)="","",INDEX('Прайс и заказ'!B:B,$J19)))</f>
      </c>
      <c r="C19" s="64" t="str">
        <f>IF($J19=0,"",IF(INDEX('Прайс и заказ'!C:C,$J19)="","",INDEX('Прайс и заказ'!C:C,$J19)))</f>
      </c>
      <c r="D19" s="64" t="str">
        <f>IF($J19=0,"",IF(INDEX('Прайс и заказ'!D:D,$J19)="","",INDEX('Прайс и заказ'!D:D,$J19)))</f>
      </c>
      <c r="E19" s="61" t="str">
        <f>IF($J19=0,"",IF(INDEX('Прайс и заказ'!F:F,$J19)="","",INDEX('Прайс и заказ'!F:F,$J19)))</f>
      </c>
      <c r="F19" s="62" t="str">
        <f>IF($J19=0,"",IF(INDEX('Прайс и заказ'!I:I,$J19)="","",INDEX('Прайс и заказ'!I:I,$J19)))</f>
      </c>
      <c r="G19" s="63" t="str">
        <f>IF($J19=0,"",IF(INDEX('Прайс и заказ'!K:K,$J19)="","",INDEX('Прайс и заказ'!K:K,$J19)))</f>
      </c>
      <c r="H19" s="62" t="str">
        <f>IF($J19=0,"",IF(INDEX('Прайс и заказ'!L:L,$J19)="","",INDEX('Прайс и заказ'!L:L,$J19)))</f>
      </c>
      <c r="I19" s="13" t="str">
        <f>IF($J19=0,"",IF(INDEX('Прайс и заказ'!M:M,$J19)="","",INDEX('Прайс и заказ'!M:M,$J19)))</f>
      </c>
      <c r="J19" t="str">
        <f>IFERROR(MATCH(11,'Прайс и заказ'!$N$7:$N$54,0)+6,0)</f>
      </c>
      <c r="L19" t="str">
        <f>IF($J19=0,"",IF(INDEX('Прайс и заказ'!Q:Q,$J19)="","",INDEX('Прайс и заказ'!Q:Q,$J19)))</f>
      </c>
    </row>
    <row r="20" spans="1:12" customHeight="1" ht="40">
      <c r="A20" s="13" t="str">
        <f>IF($J20=0,"",IFERROR(_xlfn.IMAGE(INDEX('Прайс и заказ'!$O:$O,$J20)),""))</f>
      </c>
      <c r="B20" s="61" t="str">
        <f>IF($J20=0,"",IF(INDEX('Прайс и заказ'!B:B,$J20)="","",INDEX('Прайс и заказ'!B:B,$J20)))</f>
      </c>
      <c r="C20" s="64" t="str">
        <f>IF($J20=0,"",IF(INDEX('Прайс и заказ'!C:C,$J20)="","",INDEX('Прайс и заказ'!C:C,$J20)))</f>
      </c>
      <c r="D20" s="64" t="str">
        <f>IF($J20=0,"",IF(INDEX('Прайс и заказ'!D:D,$J20)="","",INDEX('Прайс и заказ'!D:D,$J20)))</f>
      </c>
      <c r="E20" s="61" t="str">
        <f>IF($J20=0,"",IF(INDEX('Прайс и заказ'!F:F,$J20)="","",INDEX('Прайс и заказ'!F:F,$J20)))</f>
      </c>
      <c r="F20" s="62" t="str">
        <f>IF($J20=0,"",IF(INDEX('Прайс и заказ'!I:I,$J20)="","",INDEX('Прайс и заказ'!I:I,$J20)))</f>
      </c>
      <c r="G20" s="63" t="str">
        <f>IF($J20=0,"",IF(INDEX('Прайс и заказ'!K:K,$J20)="","",INDEX('Прайс и заказ'!K:K,$J20)))</f>
      </c>
      <c r="H20" s="62" t="str">
        <f>IF($J20=0,"",IF(INDEX('Прайс и заказ'!L:L,$J20)="","",INDEX('Прайс и заказ'!L:L,$J20)))</f>
      </c>
      <c r="I20" s="13" t="str">
        <f>IF($J20=0,"",IF(INDEX('Прайс и заказ'!M:M,$J20)="","",INDEX('Прайс и заказ'!M:M,$J20)))</f>
      </c>
      <c r="J20" t="str">
        <f>IFERROR(MATCH(12,'Прайс и заказ'!$N$7:$N$54,0)+6,0)</f>
      </c>
      <c r="L20" t="str">
        <f>IF($J20=0,"",IF(INDEX('Прайс и заказ'!Q:Q,$J20)="","",INDEX('Прайс и заказ'!Q:Q,$J20)))</f>
      </c>
    </row>
    <row r="21" spans="1:12" customHeight="1" ht="40">
      <c r="A21" s="13" t="str">
        <f>IF($J21=0,"",IFERROR(_xlfn.IMAGE(INDEX('Прайс и заказ'!$O:$O,$J21)),""))</f>
      </c>
      <c r="B21" s="61" t="str">
        <f>IF($J21=0,"",IF(INDEX('Прайс и заказ'!B:B,$J21)="","",INDEX('Прайс и заказ'!B:B,$J21)))</f>
      </c>
      <c r="C21" s="64" t="str">
        <f>IF($J21=0,"",IF(INDEX('Прайс и заказ'!C:C,$J21)="","",INDEX('Прайс и заказ'!C:C,$J21)))</f>
      </c>
      <c r="D21" s="64" t="str">
        <f>IF($J21=0,"",IF(INDEX('Прайс и заказ'!D:D,$J21)="","",INDEX('Прайс и заказ'!D:D,$J21)))</f>
      </c>
      <c r="E21" s="61" t="str">
        <f>IF($J21=0,"",IF(INDEX('Прайс и заказ'!F:F,$J21)="","",INDEX('Прайс и заказ'!F:F,$J21)))</f>
      </c>
      <c r="F21" s="62" t="str">
        <f>IF($J21=0,"",IF(INDEX('Прайс и заказ'!I:I,$J21)="","",INDEX('Прайс и заказ'!I:I,$J21)))</f>
      </c>
      <c r="G21" s="63" t="str">
        <f>IF($J21=0,"",IF(INDEX('Прайс и заказ'!K:K,$J21)="","",INDEX('Прайс и заказ'!K:K,$J21)))</f>
      </c>
      <c r="H21" s="62" t="str">
        <f>IF($J21=0,"",IF(INDEX('Прайс и заказ'!L:L,$J21)="","",INDEX('Прайс и заказ'!L:L,$J21)))</f>
      </c>
      <c r="I21" s="13" t="str">
        <f>IF($J21=0,"",IF(INDEX('Прайс и заказ'!M:M,$J21)="","",INDEX('Прайс и заказ'!M:M,$J21)))</f>
      </c>
      <c r="J21" t="str">
        <f>IFERROR(MATCH(13,'Прайс и заказ'!$N$7:$N$54,0)+6,0)</f>
      </c>
      <c r="L21" t="str">
        <f>IF($J21=0,"",IF(INDEX('Прайс и заказ'!Q:Q,$J21)="","",INDEX('Прайс и заказ'!Q:Q,$J21)))</f>
      </c>
    </row>
    <row r="22" spans="1:12" customHeight="1" ht="40">
      <c r="A22" s="13" t="str">
        <f>IF($J22=0,"",IFERROR(_xlfn.IMAGE(INDEX('Прайс и заказ'!$O:$O,$J22)),""))</f>
      </c>
      <c r="B22" s="61" t="str">
        <f>IF($J22=0,"",IF(INDEX('Прайс и заказ'!B:B,$J22)="","",INDEX('Прайс и заказ'!B:B,$J22)))</f>
      </c>
      <c r="C22" s="64" t="str">
        <f>IF($J22=0,"",IF(INDEX('Прайс и заказ'!C:C,$J22)="","",INDEX('Прайс и заказ'!C:C,$J22)))</f>
      </c>
      <c r="D22" s="64" t="str">
        <f>IF($J22=0,"",IF(INDEX('Прайс и заказ'!D:D,$J22)="","",INDEX('Прайс и заказ'!D:D,$J22)))</f>
      </c>
      <c r="E22" s="61" t="str">
        <f>IF($J22=0,"",IF(INDEX('Прайс и заказ'!F:F,$J22)="","",INDEX('Прайс и заказ'!F:F,$J22)))</f>
      </c>
      <c r="F22" s="62" t="str">
        <f>IF($J22=0,"",IF(INDEX('Прайс и заказ'!I:I,$J22)="","",INDEX('Прайс и заказ'!I:I,$J22)))</f>
      </c>
      <c r="G22" s="63" t="str">
        <f>IF($J22=0,"",IF(INDEX('Прайс и заказ'!K:K,$J22)="","",INDEX('Прайс и заказ'!K:K,$J22)))</f>
      </c>
      <c r="H22" s="62" t="str">
        <f>IF($J22=0,"",IF(INDEX('Прайс и заказ'!L:L,$J22)="","",INDEX('Прайс и заказ'!L:L,$J22)))</f>
      </c>
      <c r="I22" s="13" t="str">
        <f>IF($J22=0,"",IF(INDEX('Прайс и заказ'!M:M,$J22)="","",INDEX('Прайс и заказ'!M:M,$J22)))</f>
      </c>
      <c r="J22" t="str">
        <f>IFERROR(MATCH(14,'Прайс и заказ'!$N$7:$N$54,0)+6,0)</f>
      </c>
      <c r="L22" t="str">
        <f>IF($J22=0,"",IF(INDEX('Прайс и заказ'!Q:Q,$J22)="","",INDEX('Прайс и заказ'!Q:Q,$J22)))</f>
      </c>
    </row>
    <row r="23" spans="1:12" customHeight="1" ht="40">
      <c r="A23" s="13" t="str">
        <f>IF($J23=0,"",IFERROR(_xlfn.IMAGE(INDEX('Прайс и заказ'!$O:$O,$J23)),""))</f>
      </c>
      <c r="B23" s="61" t="str">
        <f>IF($J23=0,"",IF(INDEX('Прайс и заказ'!B:B,$J23)="","",INDEX('Прайс и заказ'!B:B,$J23)))</f>
      </c>
      <c r="C23" s="64" t="str">
        <f>IF($J23=0,"",IF(INDEX('Прайс и заказ'!C:C,$J23)="","",INDEX('Прайс и заказ'!C:C,$J23)))</f>
      </c>
      <c r="D23" s="64" t="str">
        <f>IF($J23=0,"",IF(INDEX('Прайс и заказ'!D:D,$J23)="","",INDEX('Прайс и заказ'!D:D,$J23)))</f>
      </c>
      <c r="E23" s="61" t="str">
        <f>IF($J23=0,"",IF(INDEX('Прайс и заказ'!F:F,$J23)="","",INDEX('Прайс и заказ'!F:F,$J23)))</f>
      </c>
      <c r="F23" s="62" t="str">
        <f>IF($J23=0,"",IF(INDEX('Прайс и заказ'!I:I,$J23)="","",INDEX('Прайс и заказ'!I:I,$J23)))</f>
      </c>
      <c r="G23" s="63" t="str">
        <f>IF($J23=0,"",IF(INDEX('Прайс и заказ'!K:K,$J23)="","",INDEX('Прайс и заказ'!K:K,$J23)))</f>
      </c>
      <c r="H23" s="62" t="str">
        <f>IF($J23=0,"",IF(INDEX('Прайс и заказ'!L:L,$J23)="","",INDEX('Прайс и заказ'!L:L,$J23)))</f>
      </c>
      <c r="I23" s="13" t="str">
        <f>IF($J23=0,"",IF(INDEX('Прайс и заказ'!M:M,$J23)="","",INDEX('Прайс и заказ'!M:M,$J23)))</f>
      </c>
      <c r="J23" t="str">
        <f>IFERROR(MATCH(15,'Прайс и заказ'!$N$7:$N$54,0)+6,0)</f>
      </c>
      <c r="L23" t="str">
        <f>IF($J23=0,"",IF(INDEX('Прайс и заказ'!Q:Q,$J23)="","",INDEX('Прайс и заказ'!Q:Q,$J23)))</f>
      </c>
    </row>
    <row r="24" spans="1:12" customHeight="1" ht="40">
      <c r="A24" s="13" t="str">
        <f>IF($J24=0,"",IFERROR(_xlfn.IMAGE(INDEX('Прайс и заказ'!$O:$O,$J24)),""))</f>
      </c>
      <c r="B24" s="61" t="str">
        <f>IF($J24=0,"",IF(INDEX('Прайс и заказ'!B:B,$J24)="","",INDEX('Прайс и заказ'!B:B,$J24)))</f>
      </c>
      <c r="C24" s="64" t="str">
        <f>IF($J24=0,"",IF(INDEX('Прайс и заказ'!C:C,$J24)="","",INDEX('Прайс и заказ'!C:C,$J24)))</f>
      </c>
      <c r="D24" s="64" t="str">
        <f>IF($J24=0,"",IF(INDEX('Прайс и заказ'!D:D,$J24)="","",INDEX('Прайс и заказ'!D:D,$J24)))</f>
      </c>
      <c r="E24" s="61" t="str">
        <f>IF($J24=0,"",IF(INDEX('Прайс и заказ'!F:F,$J24)="","",INDEX('Прайс и заказ'!F:F,$J24)))</f>
      </c>
      <c r="F24" s="62" t="str">
        <f>IF($J24=0,"",IF(INDEX('Прайс и заказ'!I:I,$J24)="","",INDEX('Прайс и заказ'!I:I,$J24)))</f>
      </c>
      <c r="G24" s="63" t="str">
        <f>IF($J24=0,"",IF(INDEX('Прайс и заказ'!K:K,$J24)="","",INDEX('Прайс и заказ'!K:K,$J24)))</f>
      </c>
      <c r="H24" s="62" t="str">
        <f>IF($J24=0,"",IF(INDEX('Прайс и заказ'!L:L,$J24)="","",INDEX('Прайс и заказ'!L:L,$J24)))</f>
      </c>
      <c r="I24" s="13" t="str">
        <f>IF($J24=0,"",IF(INDEX('Прайс и заказ'!M:M,$J24)="","",INDEX('Прайс и заказ'!M:M,$J24)))</f>
      </c>
      <c r="J24" t="str">
        <f>IFERROR(MATCH(16,'Прайс и заказ'!$N$7:$N$54,0)+6,0)</f>
      </c>
      <c r="L24" t="str">
        <f>IF($J24=0,"",IF(INDEX('Прайс и заказ'!Q:Q,$J24)="","",INDEX('Прайс и заказ'!Q:Q,$J24)))</f>
      </c>
    </row>
    <row r="25" spans="1:12" customHeight="1" ht="40">
      <c r="A25" s="13" t="str">
        <f>IF($J25=0,"",IFERROR(_xlfn.IMAGE(INDEX('Прайс и заказ'!$O:$O,$J25)),""))</f>
      </c>
      <c r="B25" s="61" t="str">
        <f>IF($J25=0,"",IF(INDEX('Прайс и заказ'!B:B,$J25)="","",INDEX('Прайс и заказ'!B:B,$J25)))</f>
      </c>
      <c r="C25" s="64" t="str">
        <f>IF($J25=0,"",IF(INDEX('Прайс и заказ'!C:C,$J25)="","",INDEX('Прайс и заказ'!C:C,$J25)))</f>
      </c>
      <c r="D25" s="64" t="str">
        <f>IF($J25=0,"",IF(INDEX('Прайс и заказ'!D:D,$J25)="","",INDEX('Прайс и заказ'!D:D,$J25)))</f>
      </c>
      <c r="E25" s="61" t="str">
        <f>IF($J25=0,"",IF(INDEX('Прайс и заказ'!F:F,$J25)="","",INDEX('Прайс и заказ'!F:F,$J25)))</f>
      </c>
      <c r="F25" s="62" t="str">
        <f>IF($J25=0,"",IF(INDEX('Прайс и заказ'!I:I,$J25)="","",INDEX('Прайс и заказ'!I:I,$J25)))</f>
      </c>
      <c r="G25" s="63" t="str">
        <f>IF($J25=0,"",IF(INDEX('Прайс и заказ'!K:K,$J25)="","",INDEX('Прайс и заказ'!K:K,$J25)))</f>
      </c>
      <c r="H25" s="62" t="str">
        <f>IF($J25=0,"",IF(INDEX('Прайс и заказ'!L:L,$J25)="","",INDEX('Прайс и заказ'!L:L,$J25)))</f>
      </c>
      <c r="I25" s="13" t="str">
        <f>IF($J25=0,"",IF(INDEX('Прайс и заказ'!M:M,$J25)="","",INDEX('Прайс и заказ'!M:M,$J25)))</f>
      </c>
      <c r="J25" t="str">
        <f>IFERROR(MATCH(17,'Прайс и заказ'!$N$7:$N$54,0)+6,0)</f>
      </c>
      <c r="L25" t="str">
        <f>IF($J25=0,"",IF(INDEX('Прайс и заказ'!Q:Q,$J25)="","",INDEX('Прайс и заказ'!Q:Q,$J25)))</f>
      </c>
    </row>
    <row r="26" spans="1:12" customHeight="1" ht="40">
      <c r="A26" s="13" t="str">
        <f>IF($J26=0,"",IFERROR(_xlfn.IMAGE(INDEX('Прайс и заказ'!$O:$O,$J26)),""))</f>
      </c>
      <c r="B26" s="61" t="str">
        <f>IF($J26=0,"",IF(INDEX('Прайс и заказ'!B:B,$J26)="","",INDEX('Прайс и заказ'!B:B,$J26)))</f>
      </c>
      <c r="C26" s="64" t="str">
        <f>IF($J26=0,"",IF(INDEX('Прайс и заказ'!C:C,$J26)="","",INDEX('Прайс и заказ'!C:C,$J26)))</f>
      </c>
      <c r="D26" s="64" t="str">
        <f>IF($J26=0,"",IF(INDEX('Прайс и заказ'!D:D,$J26)="","",INDEX('Прайс и заказ'!D:D,$J26)))</f>
      </c>
      <c r="E26" s="61" t="str">
        <f>IF($J26=0,"",IF(INDEX('Прайс и заказ'!F:F,$J26)="","",INDEX('Прайс и заказ'!F:F,$J26)))</f>
      </c>
      <c r="F26" s="62" t="str">
        <f>IF($J26=0,"",IF(INDEX('Прайс и заказ'!I:I,$J26)="","",INDEX('Прайс и заказ'!I:I,$J26)))</f>
      </c>
      <c r="G26" s="63" t="str">
        <f>IF($J26=0,"",IF(INDEX('Прайс и заказ'!K:K,$J26)="","",INDEX('Прайс и заказ'!K:K,$J26)))</f>
      </c>
      <c r="H26" s="62" t="str">
        <f>IF($J26=0,"",IF(INDEX('Прайс и заказ'!L:L,$J26)="","",INDEX('Прайс и заказ'!L:L,$J26)))</f>
      </c>
      <c r="I26" s="13" t="str">
        <f>IF($J26=0,"",IF(INDEX('Прайс и заказ'!M:M,$J26)="","",INDEX('Прайс и заказ'!M:M,$J26)))</f>
      </c>
      <c r="J26" t="str">
        <f>IFERROR(MATCH(18,'Прайс и заказ'!$N$7:$N$54,0)+6,0)</f>
      </c>
      <c r="L26" t="str">
        <f>IF($J26=0,"",IF(INDEX('Прайс и заказ'!Q:Q,$J26)="","",INDEX('Прайс и заказ'!Q:Q,$J26)))</f>
      </c>
    </row>
    <row r="27" spans="1:12" customHeight="1" ht="40">
      <c r="A27" s="13" t="str">
        <f>IF($J27=0,"",IFERROR(_xlfn.IMAGE(INDEX('Прайс и заказ'!$O:$O,$J27)),""))</f>
      </c>
      <c r="B27" s="61" t="str">
        <f>IF($J27=0,"",IF(INDEX('Прайс и заказ'!B:B,$J27)="","",INDEX('Прайс и заказ'!B:B,$J27)))</f>
      </c>
      <c r="C27" s="64" t="str">
        <f>IF($J27=0,"",IF(INDEX('Прайс и заказ'!C:C,$J27)="","",INDEX('Прайс и заказ'!C:C,$J27)))</f>
      </c>
      <c r="D27" s="64" t="str">
        <f>IF($J27=0,"",IF(INDEX('Прайс и заказ'!D:D,$J27)="","",INDEX('Прайс и заказ'!D:D,$J27)))</f>
      </c>
      <c r="E27" s="61" t="str">
        <f>IF($J27=0,"",IF(INDEX('Прайс и заказ'!F:F,$J27)="","",INDEX('Прайс и заказ'!F:F,$J27)))</f>
      </c>
      <c r="F27" s="62" t="str">
        <f>IF($J27=0,"",IF(INDEX('Прайс и заказ'!I:I,$J27)="","",INDEX('Прайс и заказ'!I:I,$J27)))</f>
      </c>
      <c r="G27" s="63" t="str">
        <f>IF($J27=0,"",IF(INDEX('Прайс и заказ'!K:K,$J27)="","",INDEX('Прайс и заказ'!K:K,$J27)))</f>
      </c>
      <c r="H27" s="62" t="str">
        <f>IF($J27=0,"",IF(INDEX('Прайс и заказ'!L:L,$J27)="","",INDEX('Прайс и заказ'!L:L,$J27)))</f>
      </c>
      <c r="I27" s="13" t="str">
        <f>IF($J27=0,"",IF(INDEX('Прайс и заказ'!M:M,$J27)="","",INDEX('Прайс и заказ'!M:M,$J27)))</f>
      </c>
      <c r="J27" t="str">
        <f>IFERROR(MATCH(19,'Прайс и заказ'!$N$7:$N$54,0)+6,0)</f>
      </c>
      <c r="L27" t="str">
        <f>IF($J27=0,"",IF(INDEX('Прайс и заказ'!Q:Q,$J27)="","",INDEX('Прайс и заказ'!Q:Q,$J27)))</f>
      </c>
    </row>
    <row r="28" spans="1:12" customHeight="1" ht="40">
      <c r="A28" s="13" t="str">
        <f>IF($J28=0,"",IFERROR(_xlfn.IMAGE(INDEX('Прайс и заказ'!$O:$O,$J28)),""))</f>
      </c>
      <c r="B28" s="61" t="str">
        <f>IF($J28=0,"",IF(INDEX('Прайс и заказ'!B:B,$J28)="","",INDEX('Прайс и заказ'!B:B,$J28)))</f>
      </c>
      <c r="C28" s="64" t="str">
        <f>IF($J28=0,"",IF(INDEX('Прайс и заказ'!C:C,$J28)="","",INDEX('Прайс и заказ'!C:C,$J28)))</f>
      </c>
      <c r="D28" s="64" t="str">
        <f>IF($J28=0,"",IF(INDEX('Прайс и заказ'!D:D,$J28)="","",INDEX('Прайс и заказ'!D:D,$J28)))</f>
      </c>
      <c r="E28" s="61" t="str">
        <f>IF($J28=0,"",IF(INDEX('Прайс и заказ'!F:F,$J28)="","",INDEX('Прайс и заказ'!F:F,$J28)))</f>
      </c>
      <c r="F28" s="62" t="str">
        <f>IF($J28=0,"",IF(INDEX('Прайс и заказ'!I:I,$J28)="","",INDEX('Прайс и заказ'!I:I,$J28)))</f>
      </c>
      <c r="G28" s="63" t="str">
        <f>IF($J28=0,"",IF(INDEX('Прайс и заказ'!K:K,$J28)="","",INDEX('Прайс и заказ'!K:K,$J28)))</f>
      </c>
      <c r="H28" s="62" t="str">
        <f>IF($J28=0,"",IF(INDEX('Прайс и заказ'!L:L,$J28)="","",INDEX('Прайс и заказ'!L:L,$J28)))</f>
      </c>
      <c r="I28" s="13" t="str">
        <f>IF($J28=0,"",IF(INDEX('Прайс и заказ'!M:M,$J28)="","",INDEX('Прайс и заказ'!M:M,$J28)))</f>
      </c>
      <c r="J28" t="str">
        <f>IFERROR(MATCH(20,'Прайс и заказ'!$N$7:$N$54,0)+6,0)</f>
      </c>
      <c r="L28" t="str">
        <f>IF($J28=0,"",IF(INDEX('Прайс и заказ'!Q:Q,$J28)="","",INDEX('Прайс и заказ'!Q:Q,$J28)))</f>
      </c>
    </row>
    <row r="29" spans="1:12" customHeight="1" ht="40">
      <c r="A29" s="13" t="str">
        <f>IF($J29=0,"",IFERROR(_xlfn.IMAGE(INDEX('Прайс и заказ'!$O:$O,$J29)),""))</f>
      </c>
      <c r="B29" s="61" t="str">
        <f>IF($J29=0,"",IF(INDEX('Прайс и заказ'!B:B,$J29)="","",INDEX('Прайс и заказ'!B:B,$J29)))</f>
      </c>
      <c r="C29" s="64" t="str">
        <f>IF($J29=0,"",IF(INDEX('Прайс и заказ'!C:C,$J29)="","",INDEX('Прайс и заказ'!C:C,$J29)))</f>
      </c>
      <c r="D29" s="64" t="str">
        <f>IF($J29=0,"",IF(INDEX('Прайс и заказ'!D:D,$J29)="","",INDEX('Прайс и заказ'!D:D,$J29)))</f>
      </c>
      <c r="E29" s="61" t="str">
        <f>IF($J29=0,"",IF(INDEX('Прайс и заказ'!F:F,$J29)="","",INDEX('Прайс и заказ'!F:F,$J29)))</f>
      </c>
      <c r="F29" s="62" t="str">
        <f>IF($J29=0,"",IF(INDEX('Прайс и заказ'!I:I,$J29)="","",INDEX('Прайс и заказ'!I:I,$J29)))</f>
      </c>
      <c r="G29" s="63" t="str">
        <f>IF($J29=0,"",IF(INDEX('Прайс и заказ'!K:K,$J29)="","",INDEX('Прайс и заказ'!K:K,$J29)))</f>
      </c>
      <c r="H29" s="62" t="str">
        <f>IF($J29=0,"",IF(INDEX('Прайс и заказ'!L:L,$J29)="","",INDEX('Прайс и заказ'!L:L,$J29)))</f>
      </c>
      <c r="I29" s="13" t="str">
        <f>IF($J29=0,"",IF(INDEX('Прайс и заказ'!M:M,$J29)="","",INDEX('Прайс и заказ'!M:M,$J29)))</f>
      </c>
      <c r="J29" t="str">
        <f>IFERROR(MATCH(21,'Прайс и заказ'!$N$7:$N$54,0)+6,0)</f>
      </c>
      <c r="L29" t="str">
        <f>IF($J29=0,"",IF(INDEX('Прайс и заказ'!Q:Q,$J29)="","",INDEX('Прайс и заказ'!Q:Q,$J29)))</f>
      </c>
    </row>
    <row r="30" spans="1:12" customHeight="1" ht="40">
      <c r="A30" s="13" t="str">
        <f>IF($J30=0,"",IFERROR(_xlfn.IMAGE(INDEX('Прайс и заказ'!$O:$O,$J30)),""))</f>
      </c>
      <c r="B30" s="61" t="str">
        <f>IF($J30=0,"",IF(INDEX('Прайс и заказ'!B:B,$J30)="","",INDEX('Прайс и заказ'!B:B,$J30)))</f>
      </c>
      <c r="C30" s="64" t="str">
        <f>IF($J30=0,"",IF(INDEX('Прайс и заказ'!C:C,$J30)="","",INDEX('Прайс и заказ'!C:C,$J30)))</f>
      </c>
      <c r="D30" s="64" t="str">
        <f>IF($J30=0,"",IF(INDEX('Прайс и заказ'!D:D,$J30)="","",INDEX('Прайс и заказ'!D:D,$J30)))</f>
      </c>
      <c r="E30" s="61" t="str">
        <f>IF($J30=0,"",IF(INDEX('Прайс и заказ'!F:F,$J30)="","",INDEX('Прайс и заказ'!F:F,$J30)))</f>
      </c>
      <c r="F30" s="62" t="str">
        <f>IF($J30=0,"",IF(INDEX('Прайс и заказ'!I:I,$J30)="","",INDEX('Прайс и заказ'!I:I,$J30)))</f>
      </c>
      <c r="G30" s="63" t="str">
        <f>IF($J30=0,"",IF(INDEX('Прайс и заказ'!K:K,$J30)="","",INDEX('Прайс и заказ'!K:K,$J30)))</f>
      </c>
      <c r="H30" s="62" t="str">
        <f>IF($J30=0,"",IF(INDEX('Прайс и заказ'!L:L,$J30)="","",INDEX('Прайс и заказ'!L:L,$J30)))</f>
      </c>
      <c r="I30" s="13" t="str">
        <f>IF($J30=0,"",IF(INDEX('Прайс и заказ'!M:M,$J30)="","",INDEX('Прайс и заказ'!M:M,$J30)))</f>
      </c>
      <c r="J30" t="str">
        <f>IFERROR(MATCH(22,'Прайс и заказ'!$N$7:$N$54,0)+6,0)</f>
      </c>
      <c r="L30" t="str">
        <f>IF($J30=0,"",IF(INDEX('Прайс и заказ'!Q:Q,$J30)="","",INDEX('Прайс и заказ'!Q:Q,$J30)))</f>
      </c>
    </row>
    <row r="31" spans="1:12" customHeight="1" ht="40">
      <c r="A31" s="13" t="str">
        <f>IF($J31=0,"",IFERROR(_xlfn.IMAGE(INDEX('Прайс и заказ'!$O:$O,$J31)),""))</f>
      </c>
      <c r="B31" s="61" t="str">
        <f>IF($J31=0,"",IF(INDEX('Прайс и заказ'!B:B,$J31)="","",INDEX('Прайс и заказ'!B:B,$J31)))</f>
      </c>
      <c r="C31" s="64" t="str">
        <f>IF($J31=0,"",IF(INDEX('Прайс и заказ'!C:C,$J31)="","",INDEX('Прайс и заказ'!C:C,$J31)))</f>
      </c>
      <c r="D31" s="64" t="str">
        <f>IF($J31=0,"",IF(INDEX('Прайс и заказ'!D:D,$J31)="","",INDEX('Прайс и заказ'!D:D,$J31)))</f>
      </c>
      <c r="E31" s="61" t="str">
        <f>IF($J31=0,"",IF(INDEX('Прайс и заказ'!F:F,$J31)="","",INDEX('Прайс и заказ'!F:F,$J31)))</f>
      </c>
      <c r="F31" s="62" t="str">
        <f>IF($J31=0,"",IF(INDEX('Прайс и заказ'!I:I,$J31)="","",INDEX('Прайс и заказ'!I:I,$J31)))</f>
      </c>
      <c r="G31" s="63" t="str">
        <f>IF($J31=0,"",IF(INDEX('Прайс и заказ'!K:K,$J31)="","",INDEX('Прайс и заказ'!K:K,$J31)))</f>
      </c>
      <c r="H31" s="62" t="str">
        <f>IF($J31=0,"",IF(INDEX('Прайс и заказ'!L:L,$J31)="","",INDEX('Прайс и заказ'!L:L,$J31)))</f>
      </c>
      <c r="I31" s="13" t="str">
        <f>IF($J31=0,"",IF(INDEX('Прайс и заказ'!M:M,$J31)="","",INDEX('Прайс и заказ'!M:M,$J31)))</f>
      </c>
      <c r="J31" t="str">
        <f>IFERROR(MATCH(23,'Прайс и заказ'!$N$7:$N$54,0)+6,0)</f>
      </c>
      <c r="L31" t="str">
        <f>IF($J31=0,"",IF(INDEX('Прайс и заказ'!Q:Q,$J31)="","",INDEX('Прайс и заказ'!Q:Q,$J31)))</f>
      </c>
    </row>
    <row r="32" spans="1:12" customHeight="1" ht="40">
      <c r="A32" s="13" t="str">
        <f>IF($J32=0,"",IFERROR(_xlfn.IMAGE(INDEX('Прайс и заказ'!$O:$O,$J32)),""))</f>
      </c>
      <c r="B32" s="61" t="str">
        <f>IF($J32=0,"",IF(INDEX('Прайс и заказ'!B:B,$J32)="","",INDEX('Прайс и заказ'!B:B,$J32)))</f>
      </c>
      <c r="C32" s="64" t="str">
        <f>IF($J32=0,"",IF(INDEX('Прайс и заказ'!C:C,$J32)="","",INDEX('Прайс и заказ'!C:C,$J32)))</f>
      </c>
      <c r="D32" s="64" t="str">
        <f>IF($J32=0,"",IF(INDEX('Прайс и заказ'!D:D,$J32)="","",INDEX('Прайс и заказ'!D:D,$J32)))</f>
      </c>
      <c r="E32" s="61" t="str">
        <f>IF($J32=0,"",IF(INDEX('Прайс и заказ'!F:F,$J32)="","",INDEX('Прайс и заказ'!F:F,$J32)))</f>
      </c>
      <c r="F32" s="62" t="str">
        <f>IF($J32=0,"",IF(INDEX('Прайс и заказ'!I:I,$J32)="","",INDEX('Прайс и заказ'!I:I,$J32)))</f>
      </c>
      <c r="G32" s="63" t="str">
        <f>IF($J32=0,"",IF(INDEX('Прайс и заказ'!K:K,$J32)="","",INDEX('Прайс и заказ'!K:K,$J32)))</f>
      </c>
      <c r="H32" s="62" t="str">
        <f>IF($J32=0,"",IF(INDEX('Прайс и заказ'!L:L,$J32)="","",INDEX('Прайс и заказ'!L:L,$J32)))</f>
      </c>
      <c r="I32" s="13" t="str">
        <f>IF($J32=0,"",IF(INDEX('Прайс и заказ'!M:M,$J32)="","",INDEX('Прайс и заказ'!M:M,$J32)))</f>
      </c>
      <c r="J32" t="str">
        <f>IFERROR(MATCH(24,'Прайс и заказ'!$N$7:$N$54,0)+6,0)</f>
      </c>
      <c r="L32" t="str">
        <f>IF($J32=0,"",IF(INDEX('Прайс и заказ'!Q:Q,$J32)="","",INDEX('Прайс и заказ'!Q:Q,$J32)))</f>
      </c>
    </row>
    <row r="33" spans="1:12" customHeight="1" ht="40">
      <c r="A33" s="13" t="str">
        <f>IF($J33=0,"",IFERROR(_xlfn.IMAGE(INDEX('Прайс и заказ'!$O:$O,$J33)),""))</f>
      </c>
      <c r="B33" s="61" t="str">
        <f>IF($J33=0,"",IF(INDEX('Прайс и заказ'!B:B,$J33)="","",INDEX('Прайс и заказ'!B:B,$J33)))</f>
      </c>
      <c r="C33" s="64" t="str">
        <f>IF($J33=0,"",IF(INDEX('Прайс и заказ'!C:C,$J33)="","",INDEX('Прайс и заказ'!C:C,$J33)))</f>
      </c>
      <c r="D33" s="64" t="str">
        <f>IF($J33=0,"",IF(INDEX('Прайс и заказ'!D:D,$J33)="","",INDEX('Прайс и заказ'!D:D,$J33)))</f>
      </c>
      <c r="E33" s="61" t="str">
        <f>IF($J33=0,"",IF(INDEX('Прайс и заказ'!F:F,$J33)="","",INDEX('Прайс и заказ'!F:F,$J33)))</f>
      </c>
      <c r="F33" s="62" t="str">
        <f>IF($J33=0,"",IF(INDEX('Прайс и заказ'!I:I,$J33)="","",INDEX('Прайс и заказ'!I:I,$J33)))</f>
      </c>
      <c r="G33" s="63" t="str">
        <f>IF($J33=0,"",IF(INDEX('Прайс и заказ'!K:K,$J33)="","",INDEX('Прайс и заказ'!K:K,$J33)))</f>
      </c>
      <c r="H33" s="62" t="str">
        <f>IF($J33=0,"",IF(INDEX('Прайс и заказ'!L:L,$J33)="","",INDEX('Прайс и заказ'!L:L,$J33)))</f>
      </c>
      <c r="I33" s="13" t="str">
        <f>IF($J33=0,"",IF(INDEX('Прайс и заказ'!M:M,$J33)="","",INDEX('Прайс и заказ'!M:M,$J33)))</f>
      </c>
      <c r="J33" t="str">
        <f>IFERROR(MATCH(25,'Прайс и заказ'!$N$7:$N$54,0)+6,0)</f>
      </c>
      <c r="L33" t="str">
        <f>IF($J33=0,"",IF(INDEX('Прайс и заказ'!Q:Q,$J33)="","",INDEX('Прайс и заказ'!Q:Q,$J33)))</f>
      </c>
    </row>
    <row r="34" spans="1:12" customHeight="1" ht="40">
      <c r="A34" s="13" t="str">
        <f>IF($J34=0,"",IFERROR(_xlfn.IMAGE(INDEX('Прайс и заказ'!$O:$O,$J34)),""))</f>
      </c>
      <c r="B34" s="61" t="str">
        <f>IF($J34=0,"",IF(INDEX('Прайс и заказ'!B:B,$J34)="","",INDEX('Прайс и заказ'!B:B,$J34)))</f>
      </c>
      <c r="C34" s="64" t="str">
        <f>IF($J34=0,"",IF(INDEX('Прайс и заказ'!C:C,$J34)="","",INDEX('Прайс и заказ'!C:C,$J34)))</f>
      </c>
      <c r="D34" s="64" t="str">
        <f>IF($J34=0,"",IF(INDEX('Прайс и заказ'!D:D,$J34)="","",INDEX('Прайс и заказ'!D:D,$J34)))</f>
      </c>
      <c r="E34" s="61" t="str">
        <f>IF($J34=0,"",IF(INDEX('Прайс и заказ'!F:F,$J34)="","",INDEX('Прайс и заказ'!F:F,$J34)))</f>
      </c>
      <c r="F34" s="62" t="str">
        <f>IF($J34=0,"",IF(INDEX('Прайс и заказ'!I:I,$J34)="","",INDEX('Прайс и заказ'!I:I,$J34)))</f>
      </c>
      <c r="G34" s="63" t="str">
        <f>IF($J34=0,"",IF(INDEX('Прайс и заказ'!K:K,$J34)="","",INDEX('Прайс и заказ'!K:K,$J34)))</f>
      </c>
      <c r="H34" s="62" t="str">
        <f>IF($J34=0,"",IF(INDEX('Прайс и заказ'!L:L,$J34)="","",INDEX('Прайс и заказ'!L:L,$J34)))</f>
      </c>
      <c r="I34" s="13" t="str">
        <f>IF($J34=0,"",IF(INDEX('Прайс и заказ'!M:M,$J34)="","",INDEX('Прайс и заказ'!M:M,$J34)))</f>
      </c>
      <c r="J34" t="str">
        <f>IFERROR(MATCH(26,'Прайс и заказ'!$N$7:$N$54,0)+6,0)</f>
      </c>
      <c r="L34" t="str">
        <f>IF($J34=0,"",IF(INDEX('Прайс и заказ'!Q:Q,$J34)="","",INDEX('Прайс и заказ'!Q:Q,$J34)))</f>
      </c>
    </row>
    <row r="35" spans="1:12" customHeight="1" ht="40">
      <c r="A35" s="13" t="str">
        <f>IF($J35=0,"",IFERROR(_xlfn.IMAGE(INDEX('Прайс и заказ'!$O:$O,$J35)),""))</f>
      </c>
      <c r="B35" s="61" t="str">
        <f>IF($J35=0,"",IF(INDEX('Прайс и заказ'!B:B,$J35)="","",INDEX('Прайс и заказ'!B:B,$J35)))</f>
      </c>
      <c r="C35" s="64" t="str">
        <f>IF($J35=0,"",IF(INDEX('Прайс и заказ'!C:C,$J35)="","",INDEX('Прайс и заказ'!C:C,$J35)))</f>
      </c>
      <c r="D35" s="64" t="str">
        <f>IF($J35=0,"",IF(INDEX('Прайс и заказ'!D:D,$J35)="","",INDEX('Прайс и заказ'!D:D,$J35)))</f>
      </c>
      <c r="E35" s="61" t="str">
        <f>IF($J35=0,"",IF(INDEX('Прайс и заказ'!F:F,$J35)="","",INDEX('Прайс и заказ'!F:F,$J35)))</f>
      </c>
      <c r="F35" s="62" t="str">
        <f>IF($J35=0,"",IF(INDEX('Прайс и заказ'!I:I,$J35)="","",INDEX('Прайс и заказ'!I:I,$J35)))</f>
      </c>
      <c r="G35" s="63" t="str">
        <f>IF($J35=0,"",IF(INDEX('Прайс и заказ'!K:K,$J35)="","",INDEX('Прайс и заказ'!K:K,$J35)))</f>
      </c>
      <c r="H35" s="62" t="str">
        <f>IF($J35=0,"",IF(INDEX('Прайс и заказ'!L:L,$J35)="","",INDEX('Прайс и заказ'!L:L,$J35)))</f>
      </c>
      <c r="I35" s="13" t="str">
        <f>IF($J35=0,"",IF(INDEX('Прайс и заказ'!M:M,$J35)="","",INDEX('Прайс и заказ'!M:M,$J35)))</f>
      </c>
      <c r="J35" t="str">
        <f>IFERROR(MATCH(27,'Прайс и заказ'!$N$7:$N$54,0)+6,0)</f>
      </c>
      <c r="L35" t="str">
        <f>IF($J35=0,"",IF(INDEX('Прайс и заказ'!Q:Q,$J35)="","",INDEX('Прайс и заказ'!Q:Q,$J35)))</f>
      </c>
    </row>
    <row r="36" spans="1:12" customHeight="1" ht="40">
      <c r="A36" s="13" t="str">
        <f>IF($J36=0,"",IFERROR(_xlfn.IMAGE(INDEX('Прайс и заказ'!$O:$O,$J36)),""))</f>
      </c>
      <c r="B36" s="61" t="str">
        <f>IF($J36=0,"",IF(INDEX('Прайс и заказ'!B:B,$J36)="","",INDEX('Прайс и заказ'!B:B,$J36)))</f>
      </c>
      <c r="C36" s="64" t="str">
        <f>IF($J36=0,"",IF(INDEX('Прайс и заказ'!C:C,$J36)="","",INDEX('Прайс и заказ'!C:C,$J36)))</f>
      </c>
      <c r="D36" s="64" t="str">
        <f>IF($J36=0,"",IF(INDEX('Прайс и заказ'!D:D,$J36)="","",INDEX('Прайс и заказ'!D:D,$J36)))</f>
      </c>
      <c r="E36" s="61" t="str">
        <f>IF($J36=0,"",IF(INDEX('Прайс и заказ'!F:F,$J36)="","",INDEX('Прайс и заказ'!F:F,$J36)))</f>
      </c>
      <c r="F36" s="62" t="str">
        <f>IF($J36=0,"",IF(INDEX('Прайс и заказ'!I:I,$J36)="","",INDEX('Прайс и заказ'!I:I,$J36)))</f>
      </c>
      <c r="G36" s="63" t="str">
        <f>IF($J36=0,"",IF(INDEX('Прайс и заказ'!K:K,$J36)="","",INDEX('Прайс и заказ'!K:K,$J36)))</f>
      </c>
      <c r="H36" s="62" t="str">
        <f>IF($J36=0,"",IF(INDEX('Прайс и заказ'!L:L,$J36)="","",INDEX('Прайс и заказ'!L:L,$J36)))</f>
      </c>
      <c r="I36" s="13" t="str">
        <f>IF($J36=0,"",IF(INDEX('Прайс и заказ'!M:M,$J36)="","",INDEX('Прайс и заказ'!M:M,$J36)))</f>
      </c>
      <c r="J36" t="str">
        <f>IFERROR(MATCH(28,'Прайс и заказ'!$N$7:$N$54,0)+6,0)</f>
      </c>
      <c r="L36" t="str">
        <f>IF($J36=0,"",IF(INDEX('Прайс и заказ'!Q:Q,$J36)="","",INDEX('Прайс и заказ'!Q:Q,$J36)))</f>
      </c>
    </row>
    <row r="37" spans="1:12" customHeight="1" ht="40">
      <c r="A37" s="13" t="str">
        <f>IF($J37=0,"",IFERROR(_xlfn.IMAGE(INDEX('Прайс и заказ'!$O:$O,$J37)),""))</f>
      </c>
      <c r="B37" s="61" t="str">
        <f>IF($J37=0,"",IF(INDEX('Прайс и заказ'!B:B,$J37)="","",INDEX('Прайс и заказ'!B:B,$J37)))</f>
      </c>
      <c r="C37" s="64" t="str">
        <f>IF($J37=0,"",IF(INDEX('Прайс и заказ'!C:C,$J37)="","",INDEX('Прайс и заказ'!C:C,$J37)))</f>
      </c>
      <c r="D37" s="64" t="str">
        <f>IF($J37=0,"",IF(INDEX('Прайс и заказ'!D:D,$J37)="","",INDEX('Прайс и заказ'!D:D,$J37)))</f>
      </c>
      <c r="E37" s="61" t="str">
        <f>IF($J37=0,"",IF(INDEX('Прайс и заказ'!F:F,$J37)="","",INDEX('Прайс и заказ'!F:F,$J37)))</f>
      </c>
      <c r="F37" s="62" t="str">
        <f>IF($J37=0,"",IF(INDEX('Прайс и заказ'!I:I,$J37)="","",INDEX('Прайс и заказ'!I:I,$J37)))</f>
      </c>
      <c r="G37" s="63" t="str">
        <f>IF($J37=0,"",IF(INDEX('Прайс и заказ'!K:K,$J37)="","",INDEX('Прайс и заказ'!K:K,$J37)))</f>
      </c>
      <c r="H37" s="62" t="str">
        <f>IF($J37=0,"",IF(INDEX('Прайс и заказ'!L:L,$J37)="","",INDEX('Прайс и заказ'!L:L,$J37)))</f>
      </c>
      <c r="I37" s="13" t="str">
        <f>IF($J37=0,"",IF(INDEX('Прайс и заказ'!M:M,$J37)="","",INDEX('Прайс и заказ'!M:M,$J37)))</f>
      </c>
      <c r="J37" t="str">
        <f>IFERROR(MATCH(29,'Прайс и заказ'!$N$7:$N$54,0)+6,0)</f>
      </c>
      <c r="L37" t="str">
        <f>IF($J37=0,"",IF(INDEX('Прайс и заказ'!Q:Q,$J37)="","",INDEX('Прайс и заказ'!Q:Q,$J37)))</f>
      </c>
    </row>
    <row r="38" spans="1:12" customHeight="1" ht="40">
      <c r="A38" s="13" t="str">
        <f>IF($J38=0,"",IFERROR(_xlfn.IMAGE(INDEX('Прайс и заказ'!$O:$O,$J38)),""))</f>
      </c>
      <c r="B38" s="61" t="str">
        <f>IF($J38=0,"",IF(INDEX('Прайс и заказ'!B:B,$J38)="","",INDEX('Прайс и заказ'!B:B,$J38)))</f>
      </c>
      <c r="C38" s="64" t="str">
        <f>IF($J38=0,"",IF(INDEX('Прайс и заказ'!C:C,$J38)="","",INDEX('Прайс и заказ'!C:C,$J38)))</f>
      </c>
      <c r="D38" s="64" t="str">
        <f>IF($J38=0,"",IF(INDEX('Прайс и заказ'!D:D,$J38)="","",INDEX('Прайс и заказ'!D:D,$J38)))</f>
      </c>
      <c r="E38" s="61" t="str">
        <f>IF($J38=0,"",IF(INDEX('Прайс и заказ'!F:F,$J38)="","",INDEX('Прайс и заказ'!F:F,$J38)))</f>
      </c>
      <c r="F38" s="62" t="str">
        <f>IF($J38=0,"",IF(INDEX('Прайс и заказ'!I:I,$J38)="","",INDEX('Прайс и заказ'!I:I,$J38)))</f>
      </c>
      <c r="G38" s="63" t="str">
        <f>IF($J38=0,"",IF(INDEX('Прайс и заказ'!K:K,$J38)="","",INDEX('Прайс и заказ'!K:K,$J38)))</f>
      </c>
      <c r="H38" s="62" t="str">
        <f>IF($J38=0,"",IF(INDEX('Прайс и заказ'!L:L,$J38)="","",INDEX('Прайс и заказ'!L:L,$J38)))</f>
      </c>
      <c r="I38" s="13" t="str">
        <f>IF($J38=0,"",IF(INDEX('Прайс и заказ'!M:M,$J38)="","",INDEX('Прайс и заказ'!M:M,$J38)))</f>
      </c>
      <c r="J38" t="str">
        <f>IFERROR(MATCH(30,'Прайс и заказ'!$N$7:$N$54,0)+6,0)</f>
      </c>
      <c r="L38" t="str">
        <f>IF($J38=0,"",IF(INDEX('Прайс и заказ'!Q:Q,$J38)="","",INDEX('Прайс и заказ'!Q:Q,$J38)))</f>
      </c>
    </row>
    <row r="39" spans="1:12" customHeight="1" ht="40">
      <c r="A39" s="13" t="str">
        <f>IF($J39=0,"",IFERROR(_xlfn.IMAGE(INDEX('Прайс и заказ'!$O:$O,$J39)),""))</f>
      </c>
      <c r="B39" s="61" t="str">
        <f>IF($J39=0,"",IF(INDEX('Прайс и заказ'!B:B,$J39)="","",INDEX('Прайс и заказ'!B:B,$J39)))</f>
      </c>
      <c r="C39" s="64" t="str">
        <f>IF($J39=0,"",IF(INDEX('Прайс и заказ'!C:C,$J39)="","",INDEX('Прайс и заказ'!C:C,$J39)))</f>
      </c>
      <c r="D39" s="64" t="str">
        <f>IF($J39=0,"",IF(INDEX('Прайс и заказ'!D:D,$J39)="","",INDEX('Прайс и заказ'!D:D,$J39)))</f>
      </c>
      <c r="E39" s="61" t="str">
        <f>IF($J39=0,"",IF(INDEX('Прайс и заказ'!F:F,$J39)="","",INDEX('Прайс и заказ'!F:F,$J39)))</f>
      </c>
      <c r="F39" s="62" t="str">
        <f>IF($J39=0,"",IF(INDEX('Прайс и заказ'!I:I,$J39)="","",INDEX('Прайс и заказ'!I:I,$J39)))</f>
      </c>
      <c r="G39" s="63" t="str">
        <f>IF($J39=0,"",IF(INDEX('Прайс и заказ'!K:K,$J39)="","",INDEX('Прайс и заказ'!K:K,$J39)))</f>
      </c>
      <c r="H39" s="62" t="str">
        <f>IF($J39=0,"",IF(INDEX('Прайс и заказ'!L:L,$J39)="","",INDEX('Прайс и заказ'!L:L,$J39)))</f>
      </c>
      <c r="I39" s="13" t="str">
        <f>IF($J39=0,"",IF(INDEX('Прайс и заказ'!M:M,$J39)="","",INDEX('Прайс и заказ'!M:M,$J39)))</f>
      </c>
      <c r="J39" t="str">
        <f>IFERROR(MATCH(31,'Прайс и заказ'!$N$7:$N$54,0)+6,0)</f>
      </c>
      <c r="L39" t="str">
        <f>IF($J39=0,"",IF(INDEX('Прайс и заказ'!Q:Q,$J39)="","",INDEX('Прайс и заказ'!Q:Q,$J39)))</f>
      </c>
    </row>
    <row r="40" spans="1:12" customHeight="1" ht="40">
      <c r="A40" s="13" t="str">
        <f>IF($J40=0,"",IFERROR(_xlfn.IMAGE(INDEX('Прайс и заказ'!$O:$O,$J40)),""))</f>
      </c>
      <c r="B40" s="61" t="str">
        <f>IF($J40=0,"",IF(INDEX('Прайс и заказ'!B:B,$J40)="","",INDEX('Прайс и заказ'!B:B,$J40)))</f>
      </c>
      <c r="C40" s="64" t="str">
        <f>IF($J40=0,"",IF(INDEX('Прайс и заказ'!C:C,$J40)="","",INDEX('Прайс и заказ'!C:C,$J40)))</f>
      </c>
      <c r="D40" s="64" t="str">
        <f>IF($J40=0,"",IF(INDEX('Прайс и заказ'!D:D,$J40)="","",INDEX('Прайс и заказ'!D:D,$J40)))</f>
      </c>
      <c r="E40" s="61" t="str">
        <f>IF($J40=0,"",IF(INDEX('Прайс и заказ'!F:F,$J40)="","",INDEX('Прайс и заказ'!F:F,$J40)))</f>
      </c>
      <c r="F40" s="62" t="str">
        <f>IF($J40=0,"",IF(INDEX('Прайс и заказ'!I:I,$J40)="","",INDEX('Прайс и заказ'!I:I,$J40)))</f>
      </c>
      <c r="G40" s="63" t="str">
        <f>IF($J40=0,"",IF(INDEX('Прайс и заказ'!K:K,$J40)="","",INDEX('Прайс и заказ'!K:K,$J40)))</f>
      </c>
      <c r="H40" s="62" t="str">
        <f>IF($J40=0,"",IF(INDEX('Прайс и заказ'!L:L,$J40)="","",INDEX('Прайс и заказ'!L:L,$J40)))</f>
      </c>
      <c r="I40" s="13" t="str">
        <f>IF($J40=0,"",IF(INDEX('Прайс и заказ'!M:M,$J40)="","",INDEX('Прайс и заказ'!M:M,$J40)))</f>
      </c>
      <c r="J40" t="str">
        <f>IFERROR(MATCH(32,'Прайс и заказ'!$N$7:$N$54,0)+6,0)</f>
      </c>
      <c r="L40" t="str">
        <f>IF($J40=0,"",IF(INDEX('Прайс и заказ'!Q:Q,$J40)="","",INDEX('Прайс и заказ'!Q:Q,$J40)))</f>
      </c>
    </row>
    <row r="41" spans="1:12" customHeight="1" ht="40">
      <c r="A41" s="13" t="str">
        <f>IF($J41=0,"",IFERROR(_xlfn.IMAGE(INDEX('Прайс и заказ'!$O:$O,$J41)),""))</f>
      </c>
      <c r="B41" s="61" t="str">
        <f>IF($J41=0,"",IF(INDEX('Прайс и заказ'!B:B,$J41)="","",INDEX('Прайс и заказ'!B:B,$J41)))</f>
      </c>
      <c r="C41" s="64" t="str">
        <f>IF($J41=0,"",IF(INDEX('Прайс и заказ'!C:C,$J41)="","",INDEX('Прайс и заказ'!C:C,$J41)))</f>
      </c>
      <c r="D41" s="64" t="str">
        <f>IF($J41=0,"",IF(INDEX('Прайс и заказ'!D:D,$J41)="","",INDEX('Прайс и заказ'!D:D,$J41)))</f>
      </c>
      <c r="E41" s="61" t="str">
        <f>IF($J41=0,"",IF(INDEX('Прайс и заказ'!F:F,$J41)="","",INDEX('Прайс и заказ'!F:F,$J41)))</f>
      </c>
      <c r="F41" s="62" t="str">
        <f>IF($J41=0,"",IF(INDEX('Прайс и заказ'!I:I,$J41)="","",INDEX('Прайс и заказ'!I:I,$J41)))</f>
      </c>
      <c r="G41" s="63" t="str">
        <f>IF($J41=0,"",IF(INDEX('Прайс и заказ'!K:K,$J41)="","",INDEX('Прайс и заказ'!K:K,$J41)))</f>
      </c>
      <c r="H41" s="62" t="str">
        <f>IF($J41=0,"",IF(INDEX('Прайс и заказ'!L:L,$J41)="","",INDEX('Прайс и заказ'!L:L,$J41)))</f>
      </c>
      <c r="I41" s="13" t="str">
        <f>IF($J41=0,"",IF(INDEX('Прайс и заказ'!M:M,$J41)="","",INDEX('Прайс и заказ'!M:M,$J41)))</f>
      </c>
      <c r="J41" t="str">
        <f>IFERROR(MATCH(33,'Прайс и заказ'!$N$7:$N$54,0)+6,0)</f>
      </c>
      <c r="L41" t="str">
        <f>IF($J41=0,"",IF(INDEX('Прайс и заказ'!Q:Q,$J41)="","",INDEX('Прайс и заказ'!Q:Q,$J41)))</f>
      </c>
    </row>
    <row r="42" spans="1:12" customHeight="1" ht="40">
      <c r="A42" s="13" t="str">
        <f>IF($J42=0,"",IFERROR(_xlfn.IMAGE(INDEX('Прайс и заказ'!$O:$O,$J42)),""))</f>
      </c>
      <c r="B42" s="61" t="str">
        <f>IF($J42=0,"",IF(INDEX('Прайс и заказ'!B:B,$J42)="","",INDEX('Прайс и заказ'!B:B,$J42)))</f>
      </c>
      <c r="C42" s="64" t="str">
        <f>IF($J42=0,"",IF(INDEX('Прайс и заказ'!C:C,$J42)="","",INDEX('Прайс и заказ'!C:C,$J42)))</f>
      </c>
      <c r="D42" s="64" t="str">
        <f>IF($J42=0,"",IF(INDEX('Прайс и заказ'!D:D,$J42)="","",INDEX('Прайс и заказ'!D:D,$J42)))</f>
      </c>
      <c r="E42" s="61" t="str">
        <f>IF($J42=0,"",IF(INDEX('Прайс и заказ'!F:F,$J42)="","",INDEX('Прайс и заказ'!F:F,$J42)))</f>
      </c>
      <c r="F42" s="62" t="str">
        <f>IF($J42=0,"",IF(INDEX('Прайс и заказ'!I:I,$J42)="","",INDEX('Прайс и заказ'!I:I,$J42)))</f>
      </c>
      <c r="G42" s="63" t="str">
        <f>IF($J42=0,"",IF(INDEX('Прайс и заказ'!K:K,$J42)="","",INDEX('Прайс и заказ'!K:K,$J42)))</f>
      </c>
      <c r="H42" s="62" t="str">
        <f>IF($J42=0,"",IF(INDEX('Прайс и заказ'!L:L,$J42)="","",INDEX('Прайс и заказ'!L:L,$J42)))</f>
      </c>
      <c r="I42" s="13" t="str">
        <f>IF($J42=0,"",IF(INDEX('Прайс и заказ'!M:M,$J42)="","",INDEX('Прайс и заказ'!M:M,$J42)))</f>
      </c>
      <c r="J42" t="str">
        <f>IFERROR(MATCH(34,'Прайс и заказ'!$N$7:$N$54,0)+6,0)</f>
      </c>
      <c r="L42" t="str">
        <f>IF($J42=0,"",IF(INDEX('Прайс и заказ'!Q:Q,$J42)="","",INDEX('Прайс и заказ'!Q:Q,$J42)))</f>
      </c>
    </row>
    <row r="43" spans="1:12" customHeight="1" ht="40">
      <c r="A43" s="13" t="str">
        <f>IF($J43=0,"",IFERROR(_xlfn.IMAGE(INDEX('Прайс и заказ'!$O:$O,$J43)),""))</f>
      </c>
      <c r="B43" s="61" t="str">
        <f>IF($J43=0,"",IF(INDEX('Прайс и заказ'!B:B,$J43)="","",INDEX('Прайс и заказ'!B:B,$J43)))</f>
      </c>
      <c r="C43" s="64" t="str">
        <f>IF($J43=0,"",IF(INDEX('Прайс и заказ'!C:C,$J43)="","",INDEX('Прайс и заказ'!C:C,$J43)))</f>
      </c>
      <c r="D43" s="64" t="str">
        <f>IF($J43=0,"",IF(INDEX('Прайс и заказ'!D:D,$J43)="","",INDEX('Прайс и заказ'!D:D,$J43)))</f>
      </c>
      <c r="E43" s="61" t="str">
        <f>IF($J43=0,"",IF(INDEX('Прайс и заказ'!F:F,$J43)="","",INDEX('Прайс и заказ'!F:F,$J43)))</f>
      </c>
      <c r="F43" s="62" t="str">
        <f>IF($J43=0,"",IF(INDEX('Прайс и заказ'!I:I,$J43)="","",INDEX('Прайс и заказ'!I:I,$J43)))</f>
      </c>
      <c r="G43" s="63" t="str">
        <f>IF($J43=0,"",IF(INDEX('Прайс и заказ'!K:K,$J43)="","",INDEX('Прайс и заказ'!K:K,$J43)))</f>
      </c>
      <c r="H43" s="62" t="str">
        <f>IF($J43=0,"",IF(INDEX('Прайс и заказ'!L:L,$J43)="","",INDEX('Прайс и заказ'!L:L,$J43)))</f>
      </c>
      <c r="I43" s="13" t="str">
        <f>IF($J43=0,"",IF(INDEX('Прайс и заказ'!M:M,$J43)="","",INDEX('Прайс и заказ'!M:M,$J43)))</f>
      </c>
      <c r="J43" t="str">
        <f>IFERROR(MATCH(35,'Прайс и заказ'!$N$7:$N$54,0)+6,0)</f>
      </c>
      <c r="L43" t="str">
        <f>IF($J43=0,"",IF(INDEX('Прайс и заказ'!Q:Q,$J43)="","",INDEX('Прайс и заказ'!Q:Q,$J43)))</f>
      </c>
    </row>
    <row r="44" spans="1:12" customHeight="1" ht="40">
      <c r="A44" s="13" t="str">
        <f>IF($J44=0,"",IFERROR(_xlfn.IMAGE(INDEX('Прайс и заказ'!$O:$O,$J44)),""))</f>
      </c>
      <c r="B44" s="61" t="str">
        <f>IF($J44=0,"",IF(INDEX('Прайс и заказ'!B:B,$J44)="","",INDEX('Прайс и заказ'!B:B,$J44)))</f>
      </c>
      <c r="C44" s="64" t="str">
        <f>IF($J44=0,"",IF(INDEX('Прайс и заказ'!C:C,$J44)="","",INDEX('Прайс и заказ'!C:C,$J44)))</f>
      </c>
      <c r="D44" s="64" t="str">
        <f>IF($J44=0,"",IF(INDEX('Прайс и заказ'!D:D,$J44)="","",INDEX('Прайс и заказ'!D:D,$J44)))</f>
      </c>
      <c r="E44" s="61" t="str">
        <f>IF($J44=0,"",IF(INDEX('Прайс и заказ'!F:F,$J44)="","",INDEX('Прайс и заказ'!F:F,$J44)))</f>
      </c>
      <c r="F44" s="62" t="str">
        <f>IF($J44=0,"",IF(INDEX('Прайс и заказ'!I:I,$J44)="","",INDEX('Прайс и заказ'!I:I,$J44)))</f>
      </c>
      <c r="G44" s="63" t="str">
        <f>IF($J44=0,"",IF(INDEX('Прайс и заказ'!K:K,$J44)="","",INDEX('Прайс и заказ'!K:K,$J44)))</f>
      </c>
      <c r="H44" s="62" t="str">
        <f>IF($J44=0,"",IF(INDEX('Прайс и заказ'!L:L,$J44)="","",INDEX('Прайс и заказ'!L:L,$J44)))</f>
      </c>
      <c r="I44" s="13" t="str">
        <f>IF($J44=0,"",IF(INDEX('Прайс и заказ'!M:M,$J44)="","",INDEX('Прайс и заказ'!M:M,$J44)))</f>
      </c>
      <c r="J44" t="str">
        <f>IFERROR(MATCH(36,'Прайс и заказ'!$N$7:$N$54,0)+6,0)</f>
      </c>
      <c r="L44" t="str">
        <f>IF($J44=0,"",IF(INDEX('Прайс и заказ'!Q:Q,$J44)="","",INDEX('Прайс и заказ'!Q:Q,$J44)))</f>
      </c>
    </row>
    <row r="45" spans="1:12" customHeight="1" ht="40">
      <c r="A45" s="13" t="str">
        <f>IF($J45=0,"",IFERROR(_xlfn.IMAGE(INDEX('Прайс и заказ'!$O:$O,$J45)),""))</f>
      </c>
      <c r="B45" s="61" t="str">
        <f>IF($J45=0,"",IF(INDEX('Прайс и заказ'!B:B,$J45)="","",INDEX('Прайс и заказ'!B:B,$J45)))</f>
      </c>
      <c r="C45" s="64" t="str">
        <f>IF($J45=0,"",IF(INDEX('Прайс и заказ'!C:C,$J45)="","",INDEX('Прайс и заказ'!C:C,$J45)))</f>
      </c>
      <c r="D45" s="64" t="str">
        <f>IF($J45=0,"",IF(INDEX('Прайс и заказ'!D:D,$J45)="","",INDEX('Прайс и заказ'!D:D,$J45)))</f>
      </c>
      <c r="E45" s="61" t="str">
        <f>IF($J45=0,"",IF(INDEX('Прайс и заказ'!F:F,$J45)="","",INDEX('Прайс и заказ'!F:F,$J45)))</f>
      </c>
      <c r="F45" s="62" t="str">
        <f>IF($J45=0,"",IF(INDEX('Прайс и заказ'!I:I,$J45)="","",INDEX('Прайс и заказ'!I:I,$J45)))</f>
      </c>
      <c r="G45" s="63" t="str">
        <f>IF($J45=0,"",IF(INDEX('Прайс и заказ'!K:K,$J45)="","",INDEX('Прайс и заказ'!K:K,$J45)))</f>
      </c>
      <c r="H45" s="62" t="str">
        <f>IF($J45=0,"",IF(INDEX('Прайс и заказ'!L:L,$J45)="","",INDEX('Прайс и заказ'!L:L,$J45)))</f>
      </c>
      <c r="I45" s="13" t="str">
        <f>IF($J45=0,"",IF(INDEX('Прайс и заказ'!M:M,$J45)="","",INDEX('Прайс и заказ'!M:M,$J45)))</f>
      </c>
      <c r="J45" t="str">
        <f>IFERROR(MATCH(37,'Прайс и заказ'!$N$7:$N$54,0)+6,0)</f>
      </c>
      <c r="L45" t="str">
        <f>IF($J45=0,"",IF(INDEX('Прайс и заказ'!Q:Q,$J45)="","",INDEX('Прайс и заказ'!Q:Q,$J45)))</f>
      </c>
    </row>
    <row r="46" spans="1:12" customHeight="1" ht="40">
      <c r="A46" s="13" t="str">
        <f>IF($J46=0,"",IFERROR(_xlfn.IMAGE(INDEX('Прайс и заказ'!$O:$O,$J46)),""))</f>
      </c>
      <c r="B46" s="61" t="str">
        <f>IF($J46=0,"",IF(INDEX('Прайс и заказ'!B:B,$J46)="","",INDEX('Прайс и заказ'!B:B,$J46)))</f>
      </c>
      <c r="C46" s="64" t="str">
        <f>IF($J46=0,"",IF(INDEX('Прайс и заказ'!C:C,$J46)="","",INDEX('Прайс и заказ'!C:C,$J46)))</f>
      </c>
      <c r="D46" s="64" t="str">
        <f>IF($J46=0,"",IF(INDEX('Прайс и заказ'!D:D,$J46)="","",INDEX('Прайс и заказ'!D:D,$J46)))</f>
      </c>
      <c r="E46" s="61" t="str">
        <f>IF($J46=0,"",IF(INDEX('Прайс и заказ'!F:F,$J46)="","",INDEX('Прайс и заказ'!F:F,$J46)))</f>
      </c>
      <c r="F46" s="62" t="str">
        <f>IF($J46=0,"",IF(INDEX('Прайс и заказ'!I:I,$J46)="","",INDEX('Прайс и заказ'!I:I,$J46)))</f>
      </c>
      <c r="G46" s="63" t="str">
        <f>IF($J46=0,"",IF(INDEX('Прайс и заказ'!K:K,$J46)="","",INDEX('Прайс и заказ'!K:K,$J46)))</f>
      </c>
      <c r="H46" s="62" t="str">
        <f>IF($J46=0,"",IF(INDEX('Прайс и заказ'!L:L,$J46)="","",INDEX('Прайс и заказ'!L:L,$J46)))</f>
      </c>
      <c r="I46" s="13" t="str">
        <f>IF($J46=0,"",IF(INDEX('Прайс и заказ'!M:M,$J46)="","",INDEX('Прайс и заказ'!M:M,$J46)))</f>
      </c>
      <c r="J46" t="str">
        <f>IFERROR(MATCH(38,'Прайс и заказ'!$N$7:$N$54,0)+6,0)</f>
      </c>
      <c r="L46" t="str">
        <f>IF($J46=0,"",IF(INDEX('Прайс и заказ'!Q:Q,$J46)="","",INDEX('Прайс и заказ'!Q:Q,$J46)))</f>
      </c>
    </row>
    <row r="47" spans="1:12" customHeight="1" ht="40">
      <c r="A47" s="13" t="str">
        <f>IF($J47=0,"",IFERROR(_xlfn.IMAGE(INDEX('Прайс и заказ'!$O:$O,$J47)),""))</f>
      </c>
      <c r="B47" s="61" t="str">
        <f>IF($J47=0,"",IF(INDEX('Прайс и заказ'!B:B,$J47)="","",INDEX('Прайс и заказ'!B:B,$J47)))</f>
      </c>
      <c r="C47" s="64" t="str">
        <f>IF($J47=0,"",IF(INDEX('Прайс и заказ'!C:C,$J47)="","",INDEX('Прайс и заказ'!C:C,$J47)))</f>
      </c>
      <c r="D47" s="64" t="str">
        <f>IF($J47=0,"",IF(INDEX('Прайс и заказ'!D:D,$J47)="","",INDEX('Прайс и заказ'!D:D,$J47)))</f>
      </c>
      <c r="E47" s="61" t="str">
        <f>IF($J47=0,"",IF(INDEX('Прайс и заказ'!F:F,$J47)="","",INDEX('Прайс и заказ'!F:F,$J47)))</f>
      </c>
      <c r="F47" s="62" t="str">
        <f>IF($J47=0,"",IF(INDEX('Прайс и заказ'!I:I,$J47)="","",INDEX('Прайс и заказ'!I:I,$J47)))</f>
      </c>
      <c r="G47" s="63" t="str">
        <f>IF($J47=0,"",IF(INDEX('Прайс и заказ'!K:K,$J47)="","",INDEX('Прайс и заказ'!K:K,$J47)))</f>
      </c>
      <c r="H47" s="62" t="str">
        <f>IF($J47=0,"",IF(INDEX('Прайс и заказ'!L:L,$J47)="","",INDEX('Прайс и заказ'!L:L,$J47)))</f>
      </c>
      <c r="I47" s="13" t="str">
        <f>IF($J47=0,"",IF(INDEX('Прайс и заказ'!M:M,$J47)="","",INDEX('Прайс и заказ'!M:M,$J47)))</f>
      </c>
      <c r="J47" t="str">
        <f>IFERROR(MATCH(39,'Прайс и заказ'!$N$7:$N$54,0)+6,0)</f>
      </c>
      <c r="L47" t="str">
        <f>IF($J47=0,"",IF(INDEX('Прайс и заказ'!Q:Q,$J47)="","",INDEX('Прайс и заказ'!Q:Q,$J47)))</f>
      </c>
    </row>
    <row r="48" spans="1:12" customHeight="1" ht="40">
      <c r="A48" s="13" t="str">
        <f>IF($J48=0,"",IFERROR(_xlfn.IMAGE(INDEX('Прайс и заказ'!$O:$O,$J48)),""))</f>
      </c>
      <c r="B48" s="61" t="str">
        <f>IF($J48=0,"",IF(INDEX('Прайс и заказ'!B:B,$J48)="","",INDEX('Прайс и заказ'!B:B,$J48)))</f>
      </c>
      <c r="C48" s="64" t="str">
        <f>IF($J48=0,"",IF(INDEX('Прайс и заказ'!C:C,$J48)="","",INDEX('Прайс и заказ'!C:C,$J48)))</f>
      </c>
      <c r="D48" s="64" t="str">
        <f>IF($J48=0,"",IF(INDEX('Прайс и заказ'!D:D,$J48)="","",INDEX('Прайс и заказ'!D:D,$J48)))</f>
      </c>
      <c r="E48" s="61" t="str">
        <f>IF($J48=0,"",IF(INDEX('Прайс и заказ'!F:F,$J48)="","",INDEX('Прайс и заказ'!F:F,$J48)))</f>
      </c>
      <c r="F48" s="62" t="str">
        <f>IF($J48=0,"",IF(INDEX('Прайс и заказ'!I:I,$J48)="","",INDEX('Прайс и заказ'!I:I,$J48)))</f>
      </c>
      <c r="G48" s="63" t="str">
        <f>IF($J48=0,"",IF(INDEX('Прайс и заказ'!K:K,$J48)="","",INDEX('Прайс и заказ'!K:K,$J48)))</f>
      </c>
      <c r="H48" s="62" t="str">
        <f>IF($J48=0,"",IF(INDEX('Прайс и заказ'!L:L,$J48)="","",INDEX('Прайс и заказ'!L:L,$J48)))</f>
      </c>
      <c r="I48" s="13" t="str">
        <f>IF($J48=0,"",IF(INDEX('Прайс и заказ'!M:M,$J48)="","",INDEX('Прайс и заказ'!M:M,$J48)))</f>
      </c>
      <c r="J48" t="str">
        <f>IFERROR(MATCH(40,'Прайс и заказ'!$N$7:$N$54,0)+6,0)</f>
      </c>
      <c r="L48" t="str">
        <f>IF($J48=0,"",IF(INDEX('Прайс и заказ'!Q:Q,$J48)="","",INDEX('Прайс и заказ'!Q:Q,$J48)))</f>
      </c>
    </row>
    <row r="49" spans="1:12" customHeight="1" ht="40">
      <c r="A49" s="13" t="str">
        <f>IF($J49=0,"",IFERROR(_xlfn.IMAGE(INDEX('Прайс и заказ'!$O:$O,$J49)),""))</f>
      </c>
      <c r="B49" s="61" t="str">
        <f>IF($J49=0,"",IF(INDEX('Прайс и заказ'!B:B,$J49)="","",INDEX('Прайс и заказ'!B:B,$J49)))</f>
      </c>
      <c r="C49" s="64" t="str">
        <f>IF($J49=0,"",IF(INDEX('Прайс и заказ'!C:C,$J49)="","",INDEX('Прайс и заказ'!C:C,$J49)))</f>
      </c>
      <c r="D49" s="64" t="str">
        <f>IF($J49=0,"",IF(INDEX('Прайс и заказ'!D:D,$J49)="","",INDEX('Прайс и заказ'!D:D,$J49)))</f>
      </c>
      <c r="E49" s="61" t="str">
        <f>IF($J49=0,"",IF(INDEX('Прайс и заказ'!F:F,$J49)="","",INDEX('Прайс и заказ'!F:F,$J49)))</f>
      </c>
      <c r="F49" s="62" t="str">
        <f>IF($J49=0,"",IF(INDEX('Прайс и заказ'!I:I,$J49)="","",INDEX('Прайс и заказ'!I:I,$J49)))</f>
      </c>
      <c r="G49" s="63" t="str">
        <f>IF($J49=0,"",IF(INDEX('Прайс и заказ'!K:K,$J49)="","",INDEX('Прайс и заказ'!K:K,$J49)))</f>
      </c>
      <c r="H49" s="62" t="str">
        <f>IF($J49=0,"",IF(INDEX('Прайс и заказ'!L:L,$J49)="","",INDEX('Прайс и заказ'!L:L,$J49)))</f>
      </c>
      <c r="I49" s="13" t="str">
        <f>IF($J49=0,"",IF(INDEX('Прайс и заказ'!M:M,$J49)="","",INDEX('Прайс и заказ'!M:M,$J49)))</f>
      </c>
      <c r="J49" t="str">
        <f>IFERROR(MATCH(41,'Прайс и заказ'!$N$7:$N$54,0)+6,0)</f>
      </c>
      <c r="L49" t="str">
        <f>IF($J49=0,"",IF(INDEX('Прайс и заказ'!Q:Q,$J49)="","",INDEX('Прайс и заказ'!Q:Q,$J49)))</f>
      </c>
    </row>
    <row r="50" spans="1:12" customHeight="1" ht="40">
      <c r="A50" s="13" t="str">
        <f>IF($J50=0,"",IFERROR(_xlfn.IMAGE(INDEX('Прайс и заказ'!$O:$O,$J50)),""))</f>
      </c>
      <c r="B50" s="61" t="str">
        <f>IF($J50=0,"",IF(INDEX('Прайс и заказ'!B:B,$J50)="","",INDEX('Прайс и заказ'!B:B,$J50)))</f>
      </c>
      <c r="C50" s="64" t="str">
        <f>IF($J50=0,"",IF(INDEX('Прайс и заказ'!C:C,$J50)="","",INDEX('Прайс и заказ'!C:C,$J50)))</f>
      </c>
      <c r="D50" s="64" t="str">
        <f>IF($J50=0,"",IF(INDEX('Прайс и заказ'!D:D,$J50)="","",INDEX('Прайс и заказ'!D:D,$J50)))</f>
      </c>
      <c r="E50" s="61" t="str">
        <f>IF($J50=0,"",IF(INDEX('Прайс и заказ'!F:F,$J50)="","",INDEX('Прайс и заказ'!F:F,$J50)))</f>
      </c>
      <c r="F50" s="62" t="str">
        <f>IF($J50=0,"",IF(INDEX('Прайс и заказ'!I:I,$J50)="","",INDEX('Прайс и заказ'!I:I,$J50)))</f>
      </c>
      <c r="G50" s="63" t="str">
        <f>IF($J50=0,"",IF(INDEX('Прайс и заказ'!K:K,$J50)="","",INDEX('Прайс и заказ'!K:K,$J50)))</f>
      </c>
      <c r="H50" s="62" t="str">
        <f>IF($J50=0,"",IF(INDEX('Прайс и заказ'!L:L,$J50)="","",INDEX('Прайс и заказ'!L:L,$J50)))</f>
      </c>
      <c r="I50" s="13" t="str">
        <f>IF($J50=0,"",IF(INDEX('Прайс и заказ'!M:M,$J50)="","",INDEX('Прайс и заказ'!M:M,$J50)))</f>
      </c>
      <c r="J50" t="str">
        <f>IFERROR(MATCH(42,'Прайс и заказ'!$N$7:$N$54,0)+6,0)</f>
      </c>
      <c r="L50" t="str">
        <f>IF($J50=0,"",IF(INDEX('Прайс и заказ'!Q:Q,$J50)="","",INDEX('Прайс и заказ'!Q:Q,$J50)))</f>
      </c>
    </row>
    <row r="51" spans="1:12" customHeight="1" ht="40">
      <c r="A51" s="13" t="str">
        <f>IF($J51=0,"",IFERROR(_xlfn.IMAGE(INDEX('Прайс и заказ'!$O:$O,$J51)),""))</f>
      </c>
      <c r="B51" s="61" t="str">
        <f>IF($J51=0,"",IF(INDEX('Прайс и заказ'!B:B,$J51)="","",INDEX('Прайс и заказ'!B:B,$J51)))</f>
      </c>
      <c r="C51" s="64" t="str">
        <f>IF($J51=0,"",IF(INDEX('Прайс и заказ'!C:C,$J51)="","",INDEX('Прайс и заказ'!C:C,$J51)))</f>
      </c>
      <c r="D51" s="64" t="str">
        <f>IF($J51=0,"",IF(INDEX('Прайс и заказ'!D:D,$J51)="","",INDEX('Прайс и заказ'!D:D,$J51)))</f>
      </c>
      <c r="E51" s="61" t="str">
        <f>IF($J51=0,"",IF(INDEX('Прайс и заказ'!F:F,$J51)="","",INDEX('Прайс и заказ'!F:F,$J51)))</f>
      </c>
      <c r="F51" s="62" t="str">
        <f>IF($J51=0,"",IF(INDEX('Прайс и заказ'!I:I,$J51)="","",INDEX('Прайс и заказ'!I:I,$J51)))</f>
      </c>
      <c r="G51" s="63" t="str">
        <f>IF($J51=0,"",IF(INDEX('Прайс и заказ'!K:K,$J51)="","",INDEX('Прайс и заказ'!K:K,$J51)))</f>
      </c>
      <c r="H51" s="62" t="str">
        <f>IF($J51=0,"",IF(INDEX('Прайс и заказ'!L:L,$J51)="","",INDEX('Прайс и заказ'!L:L,$J51)))</f>
      </c>
      <c r="I51" s="13" t="str">
        <f>IF($J51=0,"",IF(INDEX('Прайс и заказ'!M:M,$J51)="","",INDEX('Прайс и заказ'!M:M,$J51)))</f>
      </c>
      <c r="J51" t="str">
        <f>IFERROR(MATCH(43,'Прайс и заказ'!$N$7:$N$54,0)+6,0)</f>
      </c>
      <c r="L51" t="str">
        <f>IF($J51=0,"",IF(INDEX('Прайс и заказ'!Q:Q,$J51)="","",INDEX('Прайс и заказ'!Q:Q,$J51)))</f>
      </c>
    </row>
    <row r="52" spans="1:12" customHeight="1" ht="40">
      <c r="A52" s="13" t="str">
        <f>IF($J52=0,"",IFERROR(_xlfn.IMAGE(INDEX('Прайс и заказ'!$O:$O,$J52)),""))</f>
      </c>
      <c r="B52" s="61" t="str">
        <f>IF($J52=0,"",IF(INDEX('Прайс и заказ'!B:B,$J52)="","",INDEX('Прайс и заказ'!B:B,$J52)))</f>
      </c>
      <c r="C52" s="64" t="str">
        <f>IF($J52=0,"",IF(INDEX('Прайс и заказ'!C:C,$J52)="","",INDEX('Прайс и заказ'!C:C,$J52)))</f>
      </c>
      <c r="D52" s="64" t="str">
        <f>IF($J52=0,"",IF(INDEX('Прайс и заказ'!D:D,$J52)="","",INDEX('Прайс и заказ'!D:D,$J52)))</f>
      </c>
      <c r="E52" s="61" t="str">
        <f>IF($J52=0,"",IF(INDEX('Прайс и заказ'!F:F,$J52)="","",INDEX('Прайс и заказ'!F:F,$J52)))</f>
      </c>
      <c r="F52" s="62" t="str">
        <f>IF($J52=0,"",IF(INDEX('Прайс и заказ'!I:I,$J52)="","",INDEX('Прайс и заказ'!I:I,$J52)))</f>
      </c>
      <c r="G52" s="63" t="str">
        <f>IF($J52=0,"",IF(INDEX('Прайс и заказ'!K:K,$J52)="","",INDEX('Прайс и заказ'!K:K,$J52)))</f>
      </c>
      <c r="H52" s="62" t="str">
        <f>IF($J52=0,"",IF(INDEX('Прайс и заказ'!L:L,$J52)="","",INDEX('Прайс и заказ'!L:L,$J52)))</f>
      </c>
      <c r="I52" s="13" t="str">
        <f>IF($J52=0,"",IF(INDEX('Прайс и заказ'!M:M,$J52)="","",INDEX('Прайс и заказ'!M:M,$J52)))</f>
      </c>
      <c r="J52" t="str">
        <f>IFERROR(MATCH(44,'Прайс и заказ'!$N$7:$N$54,0)+6,0)</f>
      </c>
      <c r="L52" t="str">
        <f>IF($J52=0,"",IF(INDEX('Прайс и заказ'!Q:Q,$J52)="","",INDEX('Прайс и заказ'!Q:Q,$J52)))</f>
      </c>
    </row>
    <row r="53" spans="1:12" customHeight="1" ht="40">
      <c r="A53" s="13" t="str">
        <f>IF($J53=0,"",IFERROR(_xlfn.IMAGE(INDEX('Прайс и заказ'!$O:$O,$J53)),""))</f>
      </c>
      <c r="B53" s="61" t="str">
        <f>IF($J53=0,"",IF(INDEX('Прайс и заказ'!B:B,$J53)="","",INDEX('Прайс и заказ'!B:B,$J53)))</f>
      </c>
      <c r="C53" s="64" t="str">
        <f>IF($J53=0,"",IF(INDEX('Прайс и заказ'!C:C,$J53)="","",INDEX('Прайс и заказ'!C:C,$J53)))</f>
      </c>
      <c r="D53" s="64" t="str">
        <f>IF($J53=0,"",IF(INDEX('Прайс и заказ'!D:D,$J53)="","",INDEX('Прайс и заказ'!D:D,$J53)))</f>
      </c>
      <c r="E53" s="61" t="str">
        <f>IF($J53=0,"",IF(INDEX('Прайс и заказ'!F:F,$J53)="","",INDEX('Прайс и заказ'!F:F,$J53)))</f>
      </c>
      <c r="F53" s="62" t="str">
        <f>IF($J53=0,"",IF(INDEX('Прайс и заказ'!I:I,$J53)="","",INDEX('Прайс и заказ'!I:I,$J53)))</f>
      </c>
      <c r="G53" s="63" t="str">
        <f>IF($J53=0,"",IF(INDEX('Прайс и заказ'!K:K,$J53)="","",INDEX('Прайс и заказ'!K:K,$J53)))</f>
      </c>
      <c r="H53" s="62" t="str">
        <f>IF($J53=0,"",IF(INDEX('Прайс и заказ'!L:L,$J53)="","",INDEX('Прайс и заказ'!L:L,$J53)))</f>
      </c>
      <c r="I53" s="13" t="str">
        <f>IF($J53=0,"",IF(INDEX('Прайс и заказ'!M:M,$J53)="","",INDEX('Прайс и заказ'!M:M,$J53)))</f>
      </c>
      <c r="J53" t="str">
        <f>IFERROR(MATCH(45,'Прайс и заказ'!$N$7:$N$54,0)+6,0)</f>
      </c>
      <c r="L53" t="str">
        <f>IF($J53=0,"",IF(INDEX('Прайс и заказ'!Q:Q,$J53)="","",INDEX('Прайс и заказ'!Q:Q,$J53)))</f>
      </c>
    </row>
    <row r="54" spans="1:12" customHeight="1" ht="40">
      <c r="A54" s="13" t="str">
        <f>IF($J54=0,"",IFERROR(_xlfn.IMAGE(INDEX('Прайс и заказ'!$O:$O,$J54)),""))</f>
      </c>
      <c r="B54" s="61" t="str">
        <f>IF($J54=0,"",IF(INDEX('Прайс и заказ'!B:B,$J54)="","",INDEX('Прайс и заказ'!B:B,$J54)))</f>
      </c>
      <c r="C54" s="64" t="str">
        <f>IF($J54=0,"",IF(INDEX('Прайс и заказ'!C:C,$J54)="","",INDEX('Прайс и заказ'!C:C,$J54)))</f>
      </c>
      <c r="D54" s="64" t="str">
        <f>IF($J54=0,"",IF(INDEX('Прайс и заказ'!D:D,$J54)="","",INDEX('Прайс и заказ'!D:D,$J54)))</f>
      </c>
      <c r="E54" s="61" t="str">
        <f>IF($J54=0,"",IF(INDEX('Прайс и заказ'!F:F,$J54)="","",INDEX('Прайс и заказ'!F:F,$J54)))</f>
      </c>
      <c r="F54" s="62" t="str">
        <f>IF($J54=0,"",IF(INDEX('Прайс и заказ'!I:I,$J54)="","",INDEX('Прайс и заказ'!I:I,$J54)))</f>
      </c>
      <c r="G54" s="63" t="str">
        <f>IF($J54=0,"",IF(INDEX('Прайс и заказ'!K:K,$J54)="","",INDEX('Прайс и заказ'!K:K,$J54)))</f>
      </c>
      <c r="H54" s="62" t="str">
        <f>IF($J54=0,"",IF(INDEX('Прайс и заказ'!L:L,$J54)="","",INDEX('Прайс и заказ'!L:L,$J54)))</f>
      </c>
      <c r="I54" s="13" t="str">
        <f>IF($J54=0,"",IF(INDEX('Прайс и заказ'!M:M,$J54)="","",INDEX('Прайс и заказ'!M:M,$J54)))</f>
      </c>
      <c r="J54" t="str">
        <f>IFERROR(MATCH(46,'Прайс и заказ'!$N$7:$N$54,0)+6,0)</f>
      </c>
      <c r="L54" t="str">
        <f>IF($J54=0,"",IF(INDEX('Прайс и заказ'!Q:Q,$J54)="","",INDEX('Прайс и заказ'!Q:Q,$J54)))</f>
      </c>
    </row>
    <row r="55" spans="1:12" customHeight="1" ht="40">
      <c r="A55" s="13" t="str">
        <f>IF($J55=0,"",IFERROR(_xlfn.IMAGE(INDEX('Прайс и заказ'!$O:$O,$J55)),""))</f>
      </c>
      <c r="B55" s="61" t="str">
        <f>IF($J55=0,"",IF(INDEX('Прайс и заказ'!B:B,$J55)="","",INDEX('Прайс и заказ'!B:B,$J55)))</f>
      </c>
      <c r="C55" s="64" t="str">
        <f>IF($J55=0,"",IF(INDEX('Прайс и заказ'!C:C,$J55)="","",INDEX('Прайс и заказ'!C:C,$J55)))</f>
      </c>
      <c r="D55" s="64" t="str">
        <f>IF($J55=0,"",IF(INDEX('Прайс и заказ'!D:D,$J55)="","",INDEX('Прайс и заказ'!D:D,$J55)))</f>
      </c>
      <c r="E55" s="61" t="str">
        <f>IF($J55=0,"",IF(INDEX('Прайс и заказ'!F:F,$J55)="","",INDEX('Прайс и заказ'!F:F,$J55)))</f>
      </c>
      <c r="F55" s="62" t="str">
        <f>IF($J55=0,"",IF(INDEX('Прайс и заказ'!I:I,$J55)="","",INDEX('Прайс и заказ'!I:I,$J55)))</f>
      </c>
      <c r="G55" s="63" t="str">
        <f>IF($J55=0,"",IF(INDEX('Прайс и заказ'!K:K,$J55)="","",INDEX('Прайс и заказ'!K:K,$J55)))</f>
      </c>
      <c r="H55" s="62" t="str">
        <f>IF($J55=0,"",IF(INDEX('Прайс и заказ'!L:L,$J55)="","",INDEX('Прайс и заказ'!L:L,$J55)))</f>
      </c>
      <c r="I55" s="13" t="str">
        <f>IF($J55=0,"",IF(INDEX('Прайс и заказ'!M:M,$J55)="","",INDEX('Прайс и заказ'!M:M,$J55)))</f>
      </c>
      <c r="J55" t="str">
        <f>IFERROR(MATCH(47,'Прайс и заказ'!$N$7:$N$54,0)+6,0)</f>
      </c>
      <c r="L55" t="str">
        <f>IF($J55=0,"",IF(INDEX('Прайс и заказ'!Q:Q,$J55)="","",INDEX('Прайс и заказ'!Q:Q,$J55)))</f>
      </c>
    </row>
  </sheetData>
  <sheetProtection sheet="1"/>
  <mergeCells>
    <mergeCell ref="A1:I1"/>
    <mergeCell ref="A2:I2"/>
    <mergeCell ref="D4:I4"/>
    <mergeCell ref="A6:B6"/>
    <mergeCell ref="D6:E6"/>
    <mergeCell ref="G6:H6"/>
  </mergeCells>
  <conditionalFormatting sqref="A9:I55">
    <cfRule type="expression" dxfId="3" priority="1">
      <formula>$B9&lt;&gt;""</formula>
    </cfRule>
  </conditionalFormatting>
  <printOptions gridLines="false" gridLinesSet="true"/>
  <pageMargins left="0.7" right="0.7" top="0.75" bottom="0.75" header="0.3" footer="0.3"/>
  <pageSetup paperSize="1" orientation="landscape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198</v>
      </c>
    </row>
    <row r="2" spans="1:6">
      <c r="A2" t="s">
        <v>199</v>
      </c>
    </row>
    <row r="3" spans="1:6">
      <c r="A3" t="s">
        <v>200</v>
      </c>
    </row>
    <row r="4" spans="1:6">
      <c r="A4" t="s">
        <v>201</v>
      </c>
    </row>
    <row r="5" spans="1:6">
      <c r="A5" t="s">
        <v>202</v>
      </c>
      <c r="B5" t="s">
        <v>203</v>
      </c>
      <c r="C5" t="s">
        <v>204</v>
      </c>
      <c r="D5" t="s">
        <v>205</v>
      </c>
    </row>
    <row r="6" spans="1:6">
      <c r="A6" t="s">
        <v>206</v>
      </c>
      <c r="B6" t="s">
        <v>207</v>
      </c>
      <c r="C6" t="s">
        <v>208</v>
      </c>
      <c r="D6" t="s">
        <v>209</v>
      </c>
      <c r="E6" t="s">
        <v>210</v>
      </c>
      <c r="F6" t="s">
        <v>211</v>
      </c>
    </row>
    <row r="7" spans="1:6">
      <c r="A7" t="s">
        <v>212</v>
      </c>
      <c r="B7">
        <v>6</v>
      </c>
      <c r="C7" t="s">
        <v>213</v>
      </c>
      <c r="D7" t="s">
        <v>214</v>
      </c>
      <c r="E7" t="s">
        <v>215</v>
      </c>
      <c r="F7" t="s">
        <v>216</v>
      </c>
    </row>
    <row r="8" spans="1:6">
      <c r="A8" t="s">
        <v>217</v>
      </c>
      <c r="B8">
        <v>8</v>
      </c>
      <c r="C8" t="s">
        <v>218</v>
      </c>
      <c r="D8" t="s">
        <v>219</v>
      </c>
      <c r="E8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Прайс и заказ</vt:lpstr>
      <vt:lpstr>Ваш заказ</vt:lpstr>
      <vt:lpstr>_1С</vt:lpstr>
    </vt:vector>
  </TitlesOfParts>
  <Company>LavrPack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LavrPack</dc:creator>
  <cp:lastModifiedBy>Unknown Creator</cp:lastModifiedBy>
  <dcterms:created xsi:type="dcterms:W3CDTF">2026-10-01T19:59:24+04:00</dcterms:created>
  <dcterms:modified xsi:type="dcterms:W3CDTF">2026-10-01T19:59:24+04:00</dcterms:modified>
  <dc:title>Прайс-лист LavrPack — Кашпо, вазоны — Вазоны</dc:title>
  <dc:description>Сформировано на www.lavrpack.ru 01.10.2026 19:59</dc:description>
  <dc:subject/>
  <cp:keywords/>
  <cp:category/>
</cp:coreProperties>
</file>