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<sst xmlns="http://schemas.openxmlformats.org/spreadsheetml/2006/main" uniqueCount="1898">
  <si>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 xml:space="preserve">   ·   Прайс-лист «Кашпо, вазоны — Пластиковые горшки»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</si>
  <si>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</si>
  <si>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</si>
  <si>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</si>
  <si>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</si>
  <si>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</si>
  <si>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</si>
  <si>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20:34</t>
  </si>
  <si>
    <t>Категория</t>
  </si>
  <si>
    <t>Кашпо, вазоны — Пластиковые горшки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</si>
  <si>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</si>
  <si>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</si>
  <si>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</si>
  <si>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</si>
  <si>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</si>
  <si>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</si>
  <si>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</si>
  <si>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</si>
  <si>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</si>
  <si>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</si>
  <si>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</si>
  <si>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</si>
  <si>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</si>
  <si>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</si>
  <si>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</si>
  <si>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Пластиковые горшки — 616 поз.</t>
  </si>
  <si>
    <t>eeccd112-60fb-11ee-bc2f-00e01a6800eb#03b3e631-60fc-11ee-bc2f-00e01a6800eb</t>
  </si>
  <si>
    <t>104206</t>
  </si>
  <si>
    <t>"Крит №2" H23*D25 (8</t>
  </si>
  <si>
    <t>Бежевый</t>
  </si>
  <si>
    <t>5л)</t>
  </si>
  <si>
    <t>https://www.lavrpack.ru/local/templates/phoenix_v1/images_cache/thumbs/a07695bfe5a526ff4422e8ef06810c8f.webp?v=1790788476</t>
  </si>
  <si>
    <t>de23d3e8-60fc-11ee-bc2f-00e01a6800eb#e8f1d2e9-60fc-11ee-bc2f-00e01a6800eb</t>
  </si>
  <si>
    <t>104207</t>
  </si>
  <si>
    <t>"Крит №3" H17*D18 (3</t>
  </si>
  <si>
    <t>7л),</t>
  </si>
  <si>
    <t>https://www.lavrpack.ru/local/templates/phoenix_v1/images_cache/thumbs/f6ce8effb57932de7a326e642d8f9d23.webp?v=1790788476</t>
  </si>
  <si>
    <t>8f24884d-338f-11ef-843e-00e01a6800eb#bf5ac721-338f-11ef-843e-00e01a6800eb</t>
  </si>
  <si>
    <t>108286</t>
  </si>
  <si>
    <t>"Меркурий №2" H14*D18 (2</t>
  </si>
  <si>
    <t>Черный</t>
  </si>
  <si>
    <t>https://www.lavrpack.ru/local/templates/phoenix_v1/images_cache/thumbs/ce58e1b0a083d26463c5e1131002f40a.webp?v=1790788476</t>
  </si>
  <si>
    <t>29be6b12-6114-11ee-bc2f-00e01a6800eb</t>
  </si>
  <si>
    <t>104228</t>
  </si>
  <si>
    <t>"Орфей №1 голубой" H24*D29 (12л)</t>
  </si>
  <si>
    <t>https://www.lavrpack.ru/local/templates/phoenix_v1/images_cache/thumbs/170f49c1cf9e6371336c67afcebcc188.webp?v=1790832077</t>
  </si>
  <si>
    <t>881f6140-6114-11ee-bc2f-00e01a6800eb</t>
  </si>
  <si>
    <t>104229</t>
  </si>
  <si>
    <t>"Орфей №2 голубой" H20*D24 (6л)</t>
  </si>
  <si>
    <t>https://www.lavrpack.ru/local/templates/phoenix_v1/images_cache/thumbs/8c1159d9ac651deaec3f6c00656802d4.webp?v=1790832077</t>
  </si>
  <si>
    <t>8ce9e8cc-7f2c-11ec-b73f-0018e40a3af2</t>
  </si>
  <si>
    <t>68284</t>
  </si>
  <si>
    <t>Горшок</t>
  </si>
  <si>
    <t>Россия</t>
  </si>
  <si>
    <t>"London"на колесиках D33см.16л. голубой жасмин</t>
  </si>
  <si>
    <t>https://www.lavrpack.ru/local/templates/phoenix_v1/images_cache/thumbs/9a8f95b929a3231bf99ee6bc6f943a7f.webp?v=1790828461</t>
  </si>
  <si>
    <t>9f132942-7f2c-11ec-b73f-0018e40a3af2</t>
  </si>
  <si>
    <t>68287</t>
  </si>
  <si>
    <t>"London"на колесиках D33см.16л. оливковый</t>
  </si>
  <si>
    <t>https://www.lavrpack.ru/local/templates/phoenix_v1/images_cache/thumbs/94cc2e841e8bf377567688348df21755.webp?v=1790788476</t>
  </si>
  <si>
    <t>3181f055-7f2c-11ec-b73f-0018e40a3af2</t>
  </si>
  <si>
    <t>68286</t>
  </si>
  <si>
    <t>"London"на колесиках D33см.16л. спелая груша и морозная слива</t>
  </si>
  <si>
    <t>https://www.lavrpack.ru/local/templates/phoenix_v1/images_cache/thumbs/1c293cb72a22a8b9ecb45cc71c11a58b.webp?v=1790828461</t>
  </si>
  <si>
    <t>d49b59d8-7f2d-11ec-b73f-0018e40a3af2</t>
  </si>
  <si>
    <t>68293</t>
  </si>
  <si>
    <t>"London"D23см. 5л. голубой жасмин</t>
  </si>
  <si>
    <t>https://www.lavrpack.ru/local/templates/phoenix_v1/images_cache/thumbs/626606bf6db47427cd9230512d47f1d6.webp?v=1790788476</t>
  </si>
  <si>
    <t>e8a5ac52-300c-11ed-8758-00e01a6800eb</t>
  </si>
  <si>
    <t>75626</t>
  </si>
  <si>
    <t>лиловый</t>
  </si>
  <si>
    <t>Орхидея D14×H17,5см. 2л</t>
  </si>
  <si>
    <t>https://www.lavrpack.ru/local/templates/phoenix_v1/images_cache/thumbs/a8d6f0762dc0641f2a3fc42642c88b30.webp?v=1790788476</t>
  </si>
  <si>
    <t>c065d86f-a817-11f0-ab48-22344d083d2c#4db46185-a819-11f0-ab48-22344d083d2c</t>
  </si>
  <si>
    <t>115345</t>
  </si>
  <si>
    <t>Горшок "Аквадуэт"</t>
  </si>
  <si>
    <t>антрацит</t>
  </si>
  <si>
    <t>2,6л,</t>
  </si>
  <si>
    <t>https://www.lavrpack.ru/local/templates/phoenix_v1/images_cache/thumbs/2c198776537dacf98547e15b7b077c50.webp?v=1790828461</t>
  </si>
  <si>
    <t>c065d86f-a817-11f0-ab48-22344d083d2c#4723320a-a819-11f0-ab48-22344d083d2c</t>
  </si>
  <si>
    <t>белый</t>
  </si>
  <si>
    <t>https://www.lavrpack.ru/local/templates/phoenix_v1/images_cache/thumbs/92f68f2c1fa0aff0f0988982e90676a6.webp?v=1790828461</t>
  </si>
  <si>
    <t>4ec9cfd1-6b87-11ef-ab51-1cfd08767542#57fb3e6b-6b87-11ef-ab51-1cfd08767542</t>
  </si>
  <si>
    <t>109347</t>
  </si>
  <si>
    <t>Горшок "Альфа"</t>
  </si>
  <si>
    <t>Белый</t>
  </si>
  <si>
    <t>1,4л,</t>
  </si>
  <si>
    <t>https://www.lavrpack.ru/local/templates/phoenix_v1/images_cache/thumbs/7685adf2165feea711ef250aaa171503.webp?v=1790839573</t>
  </si>
  <si>
    <t>4ec9cfd1-6b87-11ef-ab51-1cfd08767542#66dbc43b-6b87-11ef-ab51-1cfd08767542</t>
  </si>
  <si>
    <t>Нефрит</t>
  </si>
  <si>
    <t>4ec9cfd1-6b87-11ef-ab51-1cfd08767542#5efa0a69-6b87-11ef-ab51-1cfd08767542</t>
  </si>
  <si>
    <t>Ванильный</t>
  </si>
  <si>
    <t>4ec9cfd1-6b87-11ef-ab51-1cfd08767542#746240af-6b87-11ef-ab51-1cfd08767542</t>
  </si>
  <si>
    <t>Фраппе</t>
  </si>
  <si>
    <t>https://www.lavrpack.ru/local/templates/phoenix_v1/images_cache/thumbs/14a2c6af4e65ae3b1d5ad3bee40a1471.webp?v=1790839573</t>
  </si>
  <si>
    <t>586a166d-6b88-11ef-ab51-1cfd08767542#3974a549-76a0-11f0-ab47-22344d083d2c</t>
  </si>
  <si>
    <t>109348</t>
  </si>
  <si>
    <t>Сливовый</t>
  </si>
  <si>
    <t>2,9л,</t>
  </si>
  <si>
    <t>https://www.lavrpack.ru/local/templates/phoenix_v1/images_cache/thumbs/ef513f3d59d72ba7694154b47cec58f8.webp?v=1790788476</t>
  </si>
  <si>
    <t>586a166d-6b88-11ef-ab51-1cfd08767542#5f19eec4-6b88-11ef-ab51-1cfd08767542</t>
  </si>
  <si>
    <t>https://www.lavrpack.ru/local/templates/phoenix_v1/images_cache/thumbs/f9f364c0c0636d8f01876c0e23ed5527.webp?v=1790839573</t>
  </si>
  <si>
    <t>586a166d-6b88-11ef-ab51-1cfd08767542#2db68b31-6b89-11ef-ab51-1cfd08767542</t>
  </si>
  <si>
    <t>https://www.lavrpack.ru/local/templates/phoenix_v1/images_cache/thumbs/539f62fe3ef798ef9a956358d9e9529b.webp?v=1790839573</t>
  </si>
  <si>
    <t>586a166d-6b88-11ef-ab51-1cfd08767542#2612ce49-6b89-11ef-ab51-1cfd08767542</t>
  </si>
  <si>
    <t>https://www.lavrpack.ru/local/templates/phoenix_v1/images_cache/thumbs/b9762dff65a72411fe9380bad940c397.webp?v=1790839573</t>
  </si>
  <si>
    <t>d4d36f21-6b89-11ef-ab51-1cfd08767542#d4d36f55-6b89-11ef-ab51-1cfd08767542</t>
  </si>
  <si>
    <t>109349</t>
  </si>
  <si>
    <t>4л,</t>
  </si>
  <si>
    <t>https://www.lavrpack.ru/local/templates/phoenix_v1/images_cache/thumbs/24093c7ccdb1376e3728ddcc794757d8.webp?v=1790839573</t>
  </si>
  <si>
    <t>d4d36f21-6b89-11ef-ab51-1cfd08767542#e4ceb114-6b89-11ef-ab51-1cfd08767542</t>
  </si>
  <si>
    <t>https://www.lavrpack.ru/local/templates/phoenix_v1/images_cache/thumbs/1008cc86e6b0d5444893984fedeae24e.webp?v=1790839573</t>
  </si>
  <si>
    <t>d4d36f21-6b89-11ef-ab51-1cfd08767542#e4ceb104-6b89-11ef-ab51-1cfd08767542</t>
  </si>
  <si>
    <t>https://www.lavrpack.ru/local/templates/phoenix_v1/images_cache/thumbs/31325ec237afa556d52efd2fab11cc91.webp?v=1790839573</t>
  </si>
  <si>
    <t>d4d36f21-6b89-11ef-ab51-1cfd08767542#f195cbb7-6b89-11ef-ab51-1cfd08767542</t>
  </si>
  <si>
    <t>https://www.lavrpack.ru/local/templates/phoenix_v1/images_cache/thumbs/861ae9bd4d0ab0641c421e405bac7694.webp?v=1790839573</t>
  </si>
  <si>
    <t>d4d36f21-6b89-11ef-ab51-1cfd08767542#f195cba7-6b89-11ef-ab51-1cfd08767542</t>
  </si>
  <si>
    <t>https://www.lavrpack.ru/local/templates/phoenix_v1/images_cache/thumbs/5a7433a8976279eb3243ea46dfdd7e07.webp?v=1790788476</t>
  </si>
  <si>
    <t>7765c0ba-6b8a-11ef-ab51-1cfd08767542#7765c0ee-6b8a-11ef-ab51-1cfd08767542</t>
  </si>
  <si>
    <t>109350</t>
  </si>
  <si>
    <t>6л,</t>
  </si>
  <si>
    <t>https://www.lavrpack.ru/local/templates/phoenix_v1/images_cache/thumbs/d33d9fb122c36964f65296f73cbbc30e.webp?v=1790839573</t>
  </si>
  <si>
    <t>7765c0ba-6b8a-11ef-ab51-1cfd08767542#86bee50e-6b8a-11ef-ab51-1cfd08767542</t>
  </si>
  <si>
    <t>https://www.lavrpack.ru/local/templates/phoenix_v1/images_cache/thumbs/cefd55faec12a644bf26c49cec6952f7.webp?v=1790839573</t>
  </si>
  <si>
    <t>7765c0ba-6b8a-11ef-ab51-1cfd08767542#aa39a3a2-1432-11f0-ab40-22344d083d2c</t>
  </si>
  <si>
    <t>https://www.lavrpack.ru/local/templates/phoenix_v1/images_cache/thumbs/00a06fc22370ede1cb86a7d1398e994d.webp?v=1790839573</t>
  </si>
  <si>
    <t>7765c0ba-6b8a-11ef-ab51-1cfd08767542#7d8b50ac-6b8a-11ef-ab51-1cfd08767542</t>
  </si>
  <si>
    <t>https://www.lavrpack.ru/local/templates/phoenix_v1/images_cache/thumbs/f82d916efa07c18a0598cd9e703de5e0.webp?v=1790839573</t>
  </si>
  <si>
    <t>b105112c-145a-11f0-ab40-22344d083d2c#d83be2c3-145a-11f0-ab40-22344d083d2c</t>
  </si>
  <si>
    <t>112105</t>
  </si>
  <si>
    <t>Горшок "Аркада"</t>
  </si>
  <si>
    <t>2,85л,</t>
  </si>
  <si>
    <t>https://www.lavrpack.ru/local/templates/phoenix_v1/images_cache/thumbs/f677fc3a154c6ca1d7e10fd079e608c6.webp?v=1790788476</t>
  </si>
  <si>
    <t>b105112c-145a-11f0-ab40-22344d083d2c#e4d54db7-145a-11f0-ab40-22344d083d2c</t>
  </si>
  <si>
    <t>Серый муссон</t>
  </si>
  <si>
    <t>https://www.lavrpack.ru/local/templates/phoenix_v1/images_cache/thumbs/a1377499ffe2209bbcf31c2c264ddbb8.webp?v=1790788476</t>
  </si>
  <si>
    <t>b105112c-145a-11f0-ab40-22344d083d2c#eb23c296-145a-11f0-ab40-22344d083d2c</t>
  </si>
  <si>
    <t>https://www.lavrpack.ru/local/templates/phoenix_v1/images_cache/thumbs/c7caff24d9c8ec9acf3c95139bbafb18.webp?v=1790788476</t>
  </si>
  <si>
    <t>0bf47b99-a812-11f0-ab48-22344d083d2c#4ea57ded-db3e-11f0-ab4d-22344d083d2c</t>
  </si>
  <si>
    <t>115337</t>
  </si>
  <si>
    <t>7,2л,</t>
  </si>
  <si>
    <t>https://www.lavrpack.ru/local/templates/phoenix_v1/images_cache/thumbs/240f9166a82c7651ed74c171d1e8daf8.webp?v=1790788476</t>
  </si>
  <si>
    <t>0bf47b99-a812-11f0-ab48-22344d083d2c#761f7961-db3e-11f0-ab4d-22344d083d2c</t>
  </si>
  <si>
    <t>https://www.lavrpack.ru/local/templates/phoenix_v1/images_cache/thumbs/d85297aad62fa9f88c7717f04decfa7f.webp?v=1790788476</t>
  </si>
  <si>
    <t>0bf47b99-a812-11f0-ab48-22344d083d2c#5b6277c5-db3e-11f0-ab4d-22344d083d2c</t>
  </si>
  <si>
    <t>https://www.lavrpack.ru/local/templates/phoenix_v1/images_cache/thumbs/be1599ff3687d458f00559fab60e4278.webp?v=1790788476</t>
  </si>
  <si>
    <t>0bf47b99-a812-11f0-ab48-22344d083d2c#17f3e0df-a812-11f0-ab48-22344d083d2c</t>
  </si>
  <si>
    <t>https://www.lavrpack.ru/local/templates/phoenix_v1/images_cache/thumbs/dc1bc7d5d35c19ebf4d2458bc03ae9e0.webp?v=1790788476</t>
  </si>
  <si>
    <t>329b8359-769e-11f0-ab47-22344d083d2c#516806e6-769e-11f0-ab47-22344d083d2c</t>
  </si>
  <si>
    <t>114074</t>
  </si>
  <si>
    <t>нефрит</t>
  </si>
  <si>
    <t>16,2л,</t>
  </si>
  <si>
    <t>https://www.lavrpack.ru/local/templates/phoenix_v1/images_cache/thumbs/eb89baf31bcce7b7bb73fc23ee3d076a.webp?v=1790828461</t>
  </si>
  <si>
    <t>329b8359-769e-11f0-ab47-22344d083d2c#3ee315d5-769e-11f0-ab47-22344d083d2c</t>
  </si>
  <si>
    <t>https://www.lavrpack.ru/local/templates/phoenix_v1/images_cache/thumbs/383e2ad22e8b9a9c662b083e0ce8e127.webp?v=1790828461</t>
  </si>
  <si>
    <t>329b8359-769e-11f0-ab47-22344d083d2c#4f84524f-769e-11f0-ab47-22344d083d2c</t>
  </si>
  <si>
    <t>ванильный</t>
  </si>
  <si>
    <t>https://www.lavrpack.ru/local/templates/phoenix_v1/images_cache/thumbs/b460b9381a3be47765888f48516a921b.webp?v=1790828461</t>
  </si>
  <si>
    <t>329b8359-769e-11f0-ab47-22344d083d2c#5d627c0b-769e-11f0-ab47-22344d083d2c</t>
  </si>
  <si>
    <t>серый муссон</t>
  </si>
  <si>
    <t>https://www.lavrpack.ru/local/templates/phoenix_v1/images_cache/thumbs/248b7c04feb450dca2577fa8a09a63de.webp?v=1790828461</t>
  </si>
  <si>
    <t>329b8359-769e-11f0-ab47-22344d083d2c#5d627c64-769e-11f0-ab47-22344d083d2c</t>
  </si>
  <si>
    <t>фраппе</t>
  </si>
  <si>
    <t>https://www.lavrpack.ru/local/templates/phoenix_v1/images_cache/thumbs/ab93b8c5dc9015386ce1d6fc2e276b83.webp?v=1790828461</t>
  </si>
  <si>
    <t>f19cb295-b749-11f1-ab51-22344d083d2c#f8030a52-b749-11f1-ab51-22344d083d2c</t>
  </si>
  <si>
    <t>120407</t>
  </si>
  <si>
    <t>Горшок "Бегония" 19*56*19,5, Белый</t>
  </si>
  <si>
    <t>f19cb295-b749-11f1-ab51-22344d083d2c#0454946e-b74a-11f1-ab51-22344d083d2c</t>
  </si>
  <si>
    <t>Горшок "Бегония" 19*56*19,5, Ванильный</t>
  </si>
  <si>
    <t>f19cb295-b749-11f1-ab51-22344d083d2c#109d1cf3-b74a-11f1-ab51-22344d083d2c</t>
  </si>
  <si>
    <t>Горшок "Бегония" 19*56*19,5, Серый муссон</t>
  </si>
  <si>
    <t>053caf1b-6b8b-11ef-ab51-1cfd08767542#94ae7d43-6b8b-11ef-ab51-1cfd08767542</t>
  </si>
  <si>
    <t>109351</t>
  </si>
  <si>
    <t>Горшок "Бета"</t>
  </si>
  <si>
    <t>https://www.lavrpack.ru/local/templates/phoenix_v1/images_cache/thumbs/98e1c5f2f64d59bdcb5bc460e1b3a6de.webp?v=1790788476</t>
  </si>
  <si>
    <t>053caf1b-6b8b-11ef-ab51-1cfd08767542#94ae7d33-6b8b-11ef-ab51-1cfd08767542</t>
  </si>
  <si>
    <t>https://www.lavrpack.ru/local/templates/phoenix_v1/images_cache/thumbs/d7747299fc1c55cfbbc7fb2d525d6257.webp?v=1790839573</t>
  </si>
  <si>
    <t>053caf1b-6b8b-11ef-ab51-1cfd08767542#a8d9213b-6b8b-11ef-ab51-1cfd08767542</t>
  </si>
  <si>
    <t>https://www.lavrpack.ru/local/templates/phoenix_v1/images_cache/thumbs/59adebd7c9e2597dc49923cea267017f.webp?v=1790839573</t>
  </si>
  <si>
    <t>053caf1b-6b8b-11ef-ab51-1cfd08767542#7bc2dd38-6b8b-11ef-ab51-1cfd08767542</t>
  </si>
  <si>
    <t>https://www.lavrpack.ru/local/templates/phoenix_v1/images_cache/thumbs/172cb804709afa4a4c28b44863c3a720.webp?v=1790839573</t>
  </si>
  <si>
    <t>62879627-6c0f-11ef-ab51-1cfd08767542#71a51ef8-6c0f-11ef-ab51-1cfd08767542</t>
  </si>
  <si>
    <t>109354</t>
  </si>
  <si>
    <t>3л,</t>
  </si>
  <si>
    <t>https://www.lavrpack.ru/local/templates/phoenix_v1/images_cache/thumbs/cc8e51cb19a74a879e02af8e24809f2f.webp?v=1790788476</t>
  </si>
  <si>
    <t>62879627-6c0f-11ef-ab51-1cfd08767542#71a51ee8-6c0f-11ef-ab51-1cfd08767542</t>
  </si>
  <si>
    <t>https://www.lavrpack.ru/local/templates/phoenix_v1/images_cache/thumbs/545b98e90da128d95688c1cfcb3e7640.webp?v=1790788476</t>
  </si>
  <si>
    <t>62879627-6c0f-11ef-ab51-1cfd08767542#7b0ac28a-6c0f-11ef-ab51-1cfd08767542</t>
  </si>
  <si>
    <t>https://www.lavrpack.ru/local/templates/phoenix_v1/images_cache/thumbs/1d702cf5f49805799af1754f5df4d308.webp?v=1790788476</t>
  </si>
  <si>
    <t>62879627-6c0f-11ef-ab51-1cfd08767542#68f70fc1-6c0f-11ef-ab51-1cfd08767542</t>
  </si>
  <si>
    <t>https://www.lavrpack.ru/local/templates/phoenix_v1/images_cache/thumbs/46fd8380e83cbc1b7c7bc4905f65dcec.webp?v=1790839573</t>
  </si>
  <si>
    <t>fd5ca7d2-6c0f-11ef-ab51-1cfd08767542#0c992d47-6c10-11ef-ab51-1cfd08767542</t>
  </si>
  <si>
    <t>109356</t>
  </si>
  <si>
    <t>Вереск</t>
  </si>
  <si>
    <t>4,2л,</t>
  </si>
  <si>
    <t>https://www.lavrpack.ru/local/templates/phoenix_v1/images_cache/thumbs/a2164af2c9526da9e73295b57277ad0e.webp?v=1790788476</t>
  </si>
  <si>
    <t>fd5ca7d2-6c0f-11ef-ab51-1cfd08767542#03e8bc86-6c10-11ef-ab51-1cfd08767542</t>
  </si>
  <si>
    <t>https://www.lavrpack.ru/local/templates/phoenix_v1/images_cache/thumbs/b1cb74ed24f9fc0eb579a9d4499d0b51.webp?v=1790839573</t>
  </si>
  <si>
    <t>fd5ca7d2-6c0f-11ef-ab51-1cfd08767542#1ca05c7c-6c10-11ef-ab51-1cfd08767542</t>
  </si>
  <si>
    <t>https://www.lavrpack.ru/local/templates/phoenix_v1/images_cache/thumbs/7c6d27124dbe1a4721804088ac0f2cef.webp?v=1790788476</t>
  </si>
  <si>
    <t>fd5ca7d2-6c0f-11ef-ab51-1cfd08767542#0c992d66-6c10-11ef-ab51-1cfd08767542</t>
  </si>
  <si>
    <t>https://www.lavrpack.ru/local/templates/phoenix_v1/images_cache/thumbs/2ea4691bf6bc12c49baa70268b7831e8.webp?v=1790788476</t>
  </si>
  <si>
    <t>fd5ca7d2-6c0f-11ef-ab51-1cfd08767542#136cc9fa-6c10-11ef-ab51-1cfd08767542</t>
  </si>
  <si>
    <t>https://www.lavrpack.ru/local/templates/phoenix_v1/images_cache/thumbs/ade48ca65095f59591818c479a2a16a8.webp?v=1790788476</t>
  </si>
  <si>
    <t>fd5ca7d2-6c0f-11ef-ab51-1cfd08767542#1ca05c6b-6c10-11ef-ab51-1cfd08767542</t>
  </si>
  <si>
    <t>Медовый</t>
  </si>
  <si>
    <t>https://www.lavrpack.ru/local/templates/phoenix_v1/images_cache/thumbs/105d260c29978025a941945503e87d99.webp?v=1790788476</t>
  </si>
  <si>
    <t>a8b9a539-6c10-11ef-ab51-1cfd08767542#b0db09ce-6c10-11ef-ab51-1cfd08767542</t>
  </si>
  <si>
    <t>109357</t>
  </si>
  <si>
    <t>5,9л,</t>
  </si>
  <si>
    <t>https://www.lavrpack.ru/local/templates/phoenix_v1/images_cache/thumbs/7c8aa407fe6d9161d892b18f59e61f12.webp?v=1790828461</t>
  </si>
  <si>
    <t>a8b9a539-6c10-11ef-ab51-1cfd08767542#b6eb2392-6c10-11ef-ab51-1cfd08767542</t>
  </si>
  <si>
    <t>https://www.lavrpack.ru/local/templates/phoenix_v1/images_cache/thumbs/a9e40e981db67c1a44a9f3bfd52932b0.webp?v=1790828461</t>
  </si>
  <si>
    <t>a8b9a539-6c10-11ef-ab51-1cfd08767542#b0db09be-6c10-11ef-ab51-1cfd08767542</t>
  </si>
  <si>
    <t>https://www.lavrpack.ru/local/templates/phoenix_v1/images_cache/thumbs/ccec279bae1226d17ee2e70bc1c12132.webp?v=1790839573</t>
  </si>
  <si>
    <t>a8b9a539-6c10-11ef-ab51-1cfd08767542#c16093f1-6c10-11ef-ab51-1cfd08767542</t>
  </si>
  <si>
    <t>https://www.lavrpack.ru/local/templates/phoenix_v1/images_cache/thumbs/c8502835f10e613da8e11ba6498d0459.webp?v=1790839573</t>
  </si>
  <si>
    <t>a8b9a539-6c10-11ef-ab51-1cfd08767542#c930e982-6c10-11ef-ab51-1cfd08767542</t>
  </si>
  <si>
    <t>https://www.lavrpack.ru/local/templates/phoenix_v1/images_cache/thumbs/3368cc24c955ccde2d1e86297f1f17cc.webp?v=1790828461</t>
  </si>
  <si>
    <t>a8b9a539-6c10-11ef-ab51-1cfd08767542#c1609401-6c10-11ef-ab51-1cfd08767542</t>
  </si>
  <si>
    <t>https://www.lavrpack.ru/local/templates/phoenix_v1/images_cache/thumbs/15ec1db8b32c81d7cca08aaf87c5cdaf.webp?v=1790828461</t>
  </si>
  <si>
    <t>03538981-de07-11ef-ab3c-22344d083d2c#46bdef7f-de07-11ef-ab3c-22344d083d2c</t>
  </si>
  <si>
    <t>111132</t>
  </si>
  <si>
    <t>Горшок "Ванда"</t>
  </si>
  <si>
    <t>Малиновый</t>
  </si>
  <si>
    <t>1,2л,</t>
  </si>
  <si>
    <t>https://www.lavrpack.ru/local/templates/phoenix_v1/images_cache/thumbs/3655bec1fa7fa43a0853d1f292406c08.webp?v=1790788476</t>
  </si>
  <si>
    <t>03538981-de07-11ef-ab3c-22344d083d2c#249c6628-de07-11ef-ab3c-22344d083d2c</t>
  </si>
  <si>
    <t>Зеленый</t>
  </si>
  <si>
    <t>https://www.lavrpack.ru/local/templates/phoenix_v1/images_cache/thumbs/5889043bc1389a15fc027c388c94e188.webp?v=1790828461</t>
  </si>
  <si>
    <t>03538981-de07-11ef-ab3c-22344d083d2c#397c1407-de07-11ef-ab3c-22344d083d2c</t>
  </si>
  <si>
    <t>Желтый</t>
  </si>
  <si>
    <t>https://www.lavrpack.ru/local/templates/phoenix_v1/images_cache/thumbs/215383e8f5f1c8ea896dc7f9608b6702.webp?v=1790828461</t>
  </si>
  <si>
    <t>03538981-de07-11ef-ab3c-22344d083d2c#1e6fcf27-de07-11ef-ab3c-22344d083d2c</t>
  </si>
  <si>
    <t>Прозрачный</t>
  </si>
  <si>
    <t>https://www.lavrpack.ru/local/templates/phoenix_v1/images_cache/thumbs/6bc11b0c86917f4befecb2db9c9b3b67.webp?v=1790839573</t>
  </si>
  <si>
    <t>bb9ec4ee-de08-11ef-ab3c-22344d083d2c#06a16e8b-b755-11f1-ab51-22344d083d2c</t>
  </si>
  <si>
    <t>111135</t>
  </si>
  <si>
    <t>2л,</t>
  </si>
  <si>
    <t>https://www.lavrpack.ru/local/templates/phoenix_v1/images_cache/thumbs/8a030be8c34fe2232a9256c18f0a555e.webp?v=1790865319</t>
  </si>
  <si>
    <t>aa4ec68b-de09-11ef-ab3c-22344d083d2c#b169231c-de09-11ef-ab3c-22344d083d2c</t>
  </si>
  <si>
    <t>111136</t>
  </si>
  <si>
    <t>3,3л,</t>
  </si>
  <si>
    <t>https://www.lavrpack.ru/local/templates/phoenix_v1/images_cache/thumbs/23b49e12602c334bc3b93aa6d749f925.webp?v=1790839573</t>
  </si>
  <si>
    <t>a68bc147-b7d7-11f1-ab51-22344d083d2c#b372fcba-b7d7-11f1-ab51-22344d083d2c</t>
  </si>
  <si>
    <t>120408</t>
  </si>
  <si>
    <t>eef85135-5a60-11f1-ab50-22344d083d2c#5a9538d1-b74b-11f1-ab51-22344d083d2c</t>
  </si>
  <si>
    <t>118530</t>
  </si>
  <si>
    <t>Горшок "Вега"</t>
  </si>
  <si>
    <t>(с вкладкой), Нефрит</t>
  </si>
  <si>
    <t>2л</t>
  </si>
  <si>
    <t>eef85135-5a60-11f1-ab50-22344d083d2c#02d37f2d-5a61-11f1-ab50-22344d083d2c</t>
  </si>
  <si>
    <t>(с вкладкой), Белый</t>
  </si>
  <si>
    <t>eef85135-5a60-11f1-ab50-22344d083d2c#9cef987e-b74b-11f1-ab51-22344d083d2c</t>
  </si>
  <si>
    <t>(с вкладкой), Фраппе</t>
  </si>
  <si>
    <t>eef85135-5a60-11f1-ab50-22344d083d2c#091f4436-5a61-11f1-ab50-22344d083d2c</t>
  </si>
  <si>
    <t>(с вкладкой), Ванильный</t>
  </si>
  <si>
    <t>eef85135-5a60-11f1-ab50-22344d083d2c#2d1574e1-b74b-11f1-ab51-22344d083d2c</t>
  </si>
  <si>
    <t>(с вкладкой), Антрацит</t>
  </si>
  <si>
    <t>d5719472-5a62-11f1-ab50-22344d083d2c#8ebf1638-b750-11f1-ab51-22344d083d2c</t>
  </si>
  <si>
    <t>118534</t>
  </si>
  <si>
    <t>3,25л</t>
  </si>
  <si>
    <t>d5719472-5a62-11f1-ab50-22344d083d2c#dd15c29a-5a62-11f1-ab50-22344d083d2c</t>
  </si>
  <si>
    <t>d5719472-5a62-11f1-ab50-22344d083d2c#dd15c377-5a62-11f1-ab50-22344d083d2c</t>
  </si>
  <si>
    <t>d5719472-5a62-11f1-ab50-22344d083d2c#81c00ce4-b750-11f1-ab51-22344d083d2c</t>
  </si>
  <si>
    <t>d5719472-5a62-11f1-ab50-22344d083d2c#88af43d1-b750-11f1-ab51-22344d083d2c</t>
  </si>
  <si>
    <t>d59a8037-6c1a-11ef-ab51-1cfd08767542#deb3d879-6c1a-11ef-ab51-1cfd08767542</t>
  </si>
  <si>
    <t>109365</t>
  </si>
  <si>
    <t>5,2л</t>
  </si>
  <si>
    <t>https://www.lavrpack.ru/local/templates/phoenix_v1/images_cache/thumbs/cda5393225c533f4c52778520dc52af9.webp?v=1790839573</t>
  </si>
  <si>
    <t>d59a8037-6c1a-11ef-ab51-1cfd08767542#cf73e351-76a1-11f0-ab47-22344d083d2c</t>
  </si>
  <si>
    <t>d59a8037-6c1a-11ef-ab51-1cfd08767542#13b69f68-6c1b-11ef-ab51-1cfd08767542</t>
  </si>
  <si>
    <t>d59a8037-6c1a-11ef-ab51-1cfd08767542#0bf95d62-6c1b-11ef-ab51-1cfd08767542</t>
  </si>
  <si>
    <t>https://www.lavrpack.ru/local/templates/phoenix_v1/images_cache/thumbs/74cea97b393559e5f341c0ca38af15f2.webp?v=1790828461</t>
  </si>
  <si>
    <t>ad961f0c-6c1b-11ef-ab51-1cfd08767542#ec556f32-5a98-11f1-ab50-22344d083d2c</t>
  </si>
  <si>
    <t>109367</t>
  </si>
  <si>
    <t>10,2л</t>
  </si>
  <si>
    <t>https://www.lavrpack.ru/local/templates/phoenix_v1/images_cache/thumbs/eb0117d17cc719674d73bab576a8db2d.webp?v=1790788476</t>
  </si>
  <si>
    <t>ad961f0c-6c1b-11ef-ab51-1cfd08767542#bf3c27f6-6c1b-11ef-ab51-1cfd08767542</t>
  </si>
  <si>
    <t>(с вкладкой), Вереск</t>
  </si>
  <si>
    <t>https://www.lavrpack.ru/local/templates/phoenix_v1/images_cache/thumbs/31becd32f82ff5a430705786057590f8.webp?v=1790788476</t>
  </si>
  <si>
    <t>ad961f0c-6c1b-11ef-ab51-1cfd08767542#2fa63f56-1437-11f0-ab40-22344d083d2c</t>
  </si>
  <si>
    <t>ad961f0c-6c1b-11ef-ab51-1cfd08767542#c5510708-6c1b-11ef-ab51-1cfd08767542</t>
  </si>
  <si>
    <t>ad961f0c-6c1b-11ef-ab51-1cfd08767542#ad961f40-6c1b-11ef-ab51-1cfd08767542</t>
  </si>
  <si>
    <t>https://www.lavrpack.ru/local/templates/phoenix_v1/images_cache/thumbs/00ffb36b454a91cf9eef0866830740a0.webp?v=1790788476</t>
  </si>
  <si>
    <t>ad961f0c-6c1b-11ef-ab51-1cfd08767542#c5510718-6c1b-11ef-ab51-1cfd08767542</t>
  </si>
  <si>
    <t>https://www.lavrpack.ru/local/templates/phoenix_v1/images_cache/thumbs/7cf7e32239f77608c7be7f1ab3ad18cc.webp?v=1790828461</t>
  </si>
  <si>
    <t>79f4ae81-6c1c-11ef-ab51-1cfd08767542#d1931672-6c1c-11ef-ab51-1cfd08767542</t>
  </si>
  <si>
    <t>109369</t>
  </si>
  <si>
    <t>17,2л</t>
  </si>
  <si>
    <t>https://www.lavrpack.ru/local/templates/phoenix_v1/images_cache/thumbs/5d41e012e5f9fa0548d33abf591b3399.webp?v=1790788476</t>
  </si>
  <si>
    <t>79f4ae81-6c1c-11ef-ab51-1cfd08767542#e04a14fb-6c1c-11ef-ab51-1cfd08767542</t>
  </si>
  <si>
    <t>https://www.lavrpack.ru/local/templates/phoenix_v1/images_cache/thumbs/1e2f095bb8fb2ea44572ab8cd00fe207.webp?v=1790788476</t>
  </si>
  <si>
    <t>79f4ae81-6c1c-11ef-ab51-1cfd08767542#86ab175d-6c1c-11ef-ab51-1cfd08767542</t>
  </si>
  <si>
    <t>79f4ae81-6c1c-11ef-ab51-1cfd08767542#a125f79a-1437-11f0-ab40-22344d083d2c</t>
  </si>
  <si>
    <t>79f4ae81-6c1c-11ef-ab51-1cfd08767542#5a4e849f-b753-11f1-ab51-22344d083d2c</t>
  </si>
  <si>
    <t>79f4ae81-6c1c-11ef-ab51-1cfd08767542#e6497ed7-6c1c-11ef-ab51-1cfd08767542</t>
  </si>
  <si>
    <t>323959c9-5a64-11f1-ab50-22344d083d2c#99b79839-5a99-11f1-ab50-22344d083d2c</t>
  </si>
  <si>
    <t>118535</t>
  </si>
  <si>
    <t>28,5л</t>
  </si>
  <si>
    <t>323959c9-5a64-11f1-ab50-22344d083d2c#382fb051-5a64-11f1-ab50-22344d083d2c</t>
  </si>
  <si>
    <t>323959c9-5a64-11f1-ab50-22344d083d2c#86304b91-b753-11f1-ab51-22344d083d2c</t>
  </si>
  <si>
    <t>Антрацит</t>
  </si>
  <si>
    <t>be817e05-a819-11f0-ab48-22344d083d2c#da57fc79-a819-11f0-ab48-22344d083d2c</t>
  </si>
  <si>
    <t>115346</t>
  </si>
  <si>
    <t>Горшок "Гранд"</t>
  </si>
  <si>
    <t>12,6л,</t>
  </si>
  <si>
    <t>https://www.lavrpack.ru/local/templates/phoenix_v1/images_cache/thumbs/99937293d7b4b760282b6a5f2d57689f.webp?v=1790828461</t>
  </si>
  <si>
    <t>be817e05-a819-11f0-ab48-22344d083d2c#c6cc3bee-a819-11f0-ab48-22344d083d2c</t>
  </si>
  <si>
    <t>https://www.lavrpack.ru/local/templates/phoenix_v1/images_cache/thumbs/cc68f1b08f3522a1f37b7ce04fc3f09a.webp?v=1790828461</t>
  </si>
  <si>
    <t>68c7274e-a81a-11f0-ab48-22344d083d2c#87bdc740-a81a-11f0-ab48-22344d083d2c</t>
  </si>
  <si>
    <t>115347</t>
  </si>
  <si>
    <t>(с поддоном), Белый</t>
  </si>
  <si>
    <t>17л</t>
  </si>
  <si>
    <t>https://www.lavrpack.ru/local/templates/phoenix_v1/images_cache/thumbs/8817b784c2e04d6de3b31f1b24857ef5.webp?v=1790828461</t>
  </si>
  <si>
    <t>68c7274e-a81a-11f0-ab48-22344d083d2c#a3eddf20-a81a-11f0-ab48-22344d083d2c</t>
  </si>
  <si>
    <t>(с поддоном), Черный</t>
  </si>
  <si>
    <t>https://www.lavrpack.ru/local/templates/phoenix_v1/images_cache/thumbs/f952151c8756c5bcee0f9dbafe2c49e0.webp?v=1790828461</t>
  </si>
  <si>
    <t>68c7274e-a81a-11f0-ab48-22344d083d2c#9c7c048f-a81a-11f0-ab48-22344d083d2c</t>
  </si>
  <si>
    <t>(с поддоном), Серый-муссон</t>
  </si>
  <si>
    <t>https://www.lavrpack.ru/local/templates/phoenix_v1/images_cache/thumbs/d5c487ad2e11b01e9a5d79e62bec2fd8.webp?v=1790788476</t>
  </si>
  <si>
    <t>203c1104-1449-11f0-ab40-22344d083d2c#66e66f6f-1449-11f0-ab40-22344d083d2c</t>
  </si>
  <si>
    <t>112092</t>
  </si>
  <si>
    <t>Горшок "Де Коста"</t>
  </si>
  <si>
    <t>Тиффани</t>
  </si>
  <si>
    <t>2,25 л,</t>
  </si>
  <si>
    <t>https://www.lavrpack.ru/local/templates/phoenix_v1/images_cache/thumbs/42752922efa0f45712561a04e795e584.webp?v=1790828461</t>
  </si>
  <si>
    <t>203c1104-1449-11f0-ab40-22344d083d2c#4d4297cd-1449-11f0-ab40-22344d083d2c</t>
  </si>
  <si>
    <t>Сиреневый</t>
  </si>
  <si>
    <t>https://www.lavrpack.ru/local/templates/phoenix_v1/images_cache/thumbs/584a2fa24d31da827474df18ec3873c8.webp?v=1790839573</t>
  </si>
  <si>
    <t>203c1104-1449-11f0-ab40-22344d083d2c#79365c87-1449-11f0-ab40-22344d083d2c</t>
  </si>
  <si>
    <t>Желтый мираж</t>
  </si>
  <si>
    <t>https://www.lavrpack.ru/local/templates/phoenix_v1/images_cache/thumbs/ae4ab3855b56210f041dc64b011d0b17.webp?v=1790839573</t>
  </si>
  <si>
    <t>203c1104-1449-11f0-ab40-22344d083d2c#856b6d1d-1449-11f0-ab40-22344d083d2c</t>
  </si>
  <si>
    <t>https://www.lavrpack.ru/local/templates/phoenix_v1/images_cache/thumbs/2439eee5d4779aa393b5de559c7c754f.webp?v=1790839573</t>
  </si>
  <si>
    <t>203c1104-1449-11f0-ab40-22344d083d2c#6ce1d43e-1449-11f0-ab40-22344d083d2c</t>
  </si>
  <si>
    <t>Шалфей</t>
  </si>
  <si>
    <t>https://www.lavrpack.ru/local/templates/phoenix_v1/images_cache/thumbs/4e267d186fe24135079f8bc561db8ded.webp?v=1790788476</t>
  </si>
  <si>
    <t>203c1104-1449-11f0-ab40-22344d083d2c#ba7197e2-2849-11f1-ab50-22344d083d2c</t>
  </si>
  <si>
    <t>https://www.lavrpack.ru/local/templates/phoenix_v1/images_cache/thumbs/9f9a7cf9a0629c8e24557602384ba6e5.webp?v=1790839573</t>
  </si>
  <si>
    <t>203c1104-1449-11f0-ab40-22344d083d2c#463282d9-1449-11f0-ab40-22344d083d2c</t>
  </si>
  <si>
    <t>https://www.lavrpack.ru/local/templates/phoenix_v1/images_cache/thumbs/d29be8d481d94fbc8a223110fb99adc1.webp?v=1790839573</t>
  </si>
  <si>
    <t>1f282aa9-6b82-11ef-ab51-1cfd08767542#7ca5afe2-142c-11f0-ab40-22344d083d2c</t>
  </si>
  <si>
    <t>109341</t>
  </si>
  <si>
    <t>Горшок "Дельта"</t>
  </si>
  <si>
    <t>1,5л,</t>
  </si>
  <si>
    <t>https://www.lavrpack.ru/local/templates/phoenix_v1/images_cache/thumbs/bf5d54c894c90b941f342c6273833a26.webp?v=1790788476</t>
  </si>
  <si>
    <t>1f282aa9-6b82-11ef-ab51-1cfd08767542#2fcd256e-6b82-11ef-ab51-1cfd08767542</t>
  </si>
  <si>
    <t>https://www.lavrpack.ru/local/templates/phoenix_v1/images_cache/thumbs/6ae6aae1c437646d9b5caea6a42f5fcc.webp?v=1790839573</t>
  </si>
  <si>
    <t>1f282aa9-6b82-11ef-ab51-1cfd08767542#55016a94-6b82-11ef-ab51-1cfd08767542</t>
  </si>
  <si>
    <t>https://www.lavrpack.ru/local/templates/phoenix_v1/images_cache/thumbs/d567a1d58568089f0b44f16df78744f8.webp?v=1790839573</t>
  </si>
  <si>
    <t>1f282aa9-6b82-11ef-ab51-1cfd08767542#37695149-6b82-11ef-ab51-1cfd08767542</t>
  </si>
  <si>
    <t>https://www.lavrpack.ru/local/templates/phoenix_v1/images_cache/thumbs/6f306b3011f0365674381b63b4822094.webp?v=1790788476</t>
  </si>
  <si>
    <t>3c4ca76c-6b83-11ef-ab51-1cfd08767542#48ad0055-142d-11f0-ab40-22344d083d2c</t>
  </si>
  <si>
    <t>109343</t>
  </si>
  <si>
    <t>прозрачный</t>
  </si>
  <si>
    <t>3,2л,</t>
  </si>
  <si>
    <t>https://www.lavrpack.ru/local/templates/phoenix_v1/images_cache/thumbs/f5751f72b32b05a7da919ddf7c1301fa.webp?v=1790788476</t>
  </si>
  <si>
    <t>3c4ca76c-6b83-11ef-ab51-1cfd08767542#4c58bac6-6b83-11ef-ab51-1cfd08767542</t>
  </si>
  <si>
    <t>https://www.lavrpack.ru/local/templates/phoenix_v1/images_cache/thumbs/2a1870b98fc05b2911affa7f69623a7b.webp?v=1790788476</t>
  </si>
  <si>
    <t>3c4ca76c-6b83-11ef-ab51-1cfd08767542#938e4613-6b83-11ef-ab51-1cfd08767542</t>
  </si>
  <si>
    <t>https://www.lavrpack.ru/local/templates/phoenix_v1/images_cache/thumbs/1583b5aacdac00fbd0c354f13566b2f7.webp?v=1790788476</t>
  </si>
  <si>
    <t>3c4ca76c-6b83-11ef-ab51-1cfd08767542#802db8f2-6b83-11ef-ab51-1cfd08767542</t>
  </si>
  <si>
    <t>Ментол</t>
  </si>
  <si>
    <t>https://www.lavrpack.ru/local/templates/phoenix_v1/images_cache/thumbs/77a69036cdb06182bebd3511e5a1d2a6.webp?v=1790788476</t>
  </si>
  <si>
    <t>3c4ca76c-6b83-11ef-ab51-1cfd08767542#46168584-6b83-11ef-ab51-1cfd08767542</t>
  </si>
  <si>
    <t>https://www.lavrpack.ru/local/templates/phoenix_v1/images_cache/thumbs/47751f262f2be2da6d3d12273bcc8dff.webp?v=1790788476</t>
  </si>
  <si>
    <t>3c4ca76c-6b83-11ef-ab51-1cfd08767542#46168574-6b83-11ef-ab51-1cfd08767542</t>
  </si>
  <si>
    <t>https://www.lavrpack.ru/local/templates/phoenix_v1/images_cache/thumbs/1f5faca5175dde005c42da925d3450fe.webp?v=1790839573</t>
  </si>
  <si>
    <t>3c4ca76c-6b83-11ef-ab51-1cfd08767542#871ea8e8-6b83-11ef-ab51-1cfd08767542</t>
  </si>
  <si>
    <t>https://www.lavrpack.ru/local/templates/phoenix_v1/images_cache/thumbs/fce185f08464fce2969c263fcd8ef38b.webp?v=1790788476</t>
  </si>
  <si>
    <t>1d6e01b8-6c26-11ef-ab51-1cfd08767542#32c1ca7c-6c26-11ef-ab51-1cfd08767542</t>
  </si>
  <si>
    <t>109383</t>
  </si>
  <si>
    <t>4,4л,</t>
  </si>
  <si>
    <t>https://www.lavrpack.ru/local/templates/phoenix_v1/images_cache/thumbs/a89ce68d59f868a2a2fd687338832d9a.webp?v=1790788476</t>
  </si>
  <si>
    <t>1d6e01b8-6c26-11ef-ab51-1cfd08767542#2c8b889c-6c26-11ef-ab51-1cfd08767542</t>
  </si>
  <si>
    <t>https://www.lavrpack.ru/local/templates/phoenix_v1/images_cache/thumbs/f3bcb63a6ce37e32d0c9b304693d1089.webp?v=1790788476</t>
  </si>
  <si>
    <t>1d6e01b8-6c26-11ef-ab51-1cfd08767542#3be70ddc-6c26-11ef-ab51-1cfd08767542</t>
  </si>
  <si>
    <t>https://www.lavrpack.ru/local/templates/phoenix_v1/images_cache/thumbs/0a16649e5770c55aec776feb013e4440.webp?v=1790788476</t>
  </si>
  <si>
    <t>1d6e01b8-6c26-11ef-ab51-1cfd08767542#420a3ba2-6c26-11ef-ab51-1cfd08767542</t>
  </si>
  <si>
    <t>https://www.lavrpack.ru/local/templates/phoenix_v1/images_cache/thumbs/f59d493de94773122e7cd58fd4df2a0a.webp?v=1790788476</t>
  </si>
  <si>
    <t>1d6e01b8-6c26-11ef-ab51-1cfd08767542#2c8b888c-6c26-11ef-ab51-1cfd08767542</t>
  </si>
  <si>
    <t>https://www.lavrpack.ru/local/templates/phoenix_v1/images_cache/thumbs/73c4f6416d71871d64b3cff5ce3b0f5d.webp?v=1790788476</t>
  </si>
  <si>
    <t>1d6e01b8-6c26-11ef-ab51-1cfd08767542#263d71c0-6c26-11ef-ab51-1cfd08767542</t>
  </si>
  <si>
    <t>https://www.lavrpack.ru/local/templates/phoenix_v1/images_cache/thumbs/05fff90f6544ff5c43407789359338a0.webp?v=1790788476</t>
  </si>
  <si>
    <t>1d6e01b8-6c26-11ef-ab51-1cfd08767542#3be70dcc-6c26-11ef-ab51-1cfd08767542</t>
  </si>
  <si>
    <t>https://www.lavrpack.ru/local/templates/phoenix_v1/images_cache/thumbs/96ae77c60db24a93a439c8d244320708.webp?v=1790788476</t>
  </si>
  <si>
    <t>5cfe24cc-6b85-11ef-ab51-1cfd08767542#77957a00-6b85-11ef-ab51-1cfd08767542</t>
  </si>
  <si>
    <t>109345</t>
  </si>
  <si>
    <t>6,4л,</t>
  </si>
  <si>
    <t>https://www.lavrpack.ru/local/templates/phoenix_v1/images_cache/thumbs/a8b403550bd3872eed28b5fe5040d38d.webp?v=1790839573</t>
  </si>
  <si>
    <t>5cfe24cc-6b85-11ef-ab51-1cfd08767542#80959955-6b85-11ef-ab51-1cfd08767542</t>
  </si>
  <si>
    <t>https://www.lavrpack.ru/local/templates/phoenix_v1/images_cache/thumbs/bbac3eb3e96360bd957dec77bf6d57bc.webp?v=1790839573</t>
  </si>
  <si>
    <t>5cfe24cc-6b85-11ef-ab51-1cfd08767542#6b0883e6-6b85-11ef-ab51-1cfd08767542</t>
  </si>
  <si>
    <t>https://www.lavrpack.ru/local/templates/phoenix_v1/images_cache/thumbs/f1968accf82099b56a8764af82bc5946.webp?v=1790839573</t>
  </si>
  <si>
    <t>806b23ed-6b86-11ef-ab51-1cfd08767542#87bdc9cc-6b86-11ef-ab51-1cfd08767542</t>
  </si>
  <si>
    <t>109346</t>
  </si>
  <si>
    <t>9,8л,</t>
  </si>
  <si>
    <t>https://www.lavrpack.ru/local/templates/phoenix_v1/images_cache/thumbs/651f479cde2f4a087854b1d0a484b0c6.webp?v=1790828461</t>
  </si>
  <si>
    <t>806b23ed-6b86-11ef-ab51-1cfd08767542#a3189382-6b86-11ef-ab51-1cfd08767542</t>
  </si>
  <si>
    <t>https://www.lavrpack.ru/local/templates/phoenix_v1/images_cache/thumbs/f49a2b73ffc97486801efcd93ac8c52f.webp?v=1790828461</t>
  </si>
  <si>
    <t>806b23ed-6b86-11ef-ab51-1cfd08767542#87bdc9bc-6b86-11ef-ab51-1cfd08767542</t>
  </si>
  <si>
    <t>https://www.lavrpack.ru/local/templates/phoenix_v1/images_cache/thumbs/4413a4ada144994336183a47e311cc0d.webp?v=1790839573</t>
  </si>
  <si>
    <t>806b23ed-6b86-11ef-ab51-1cfd08767542#9cfc9024-6b86-11ef-ab51-1cfd08767542</t>
  </si>
  <si>
    <t>https://www.lavrpack.ru/local/templates/phoenix_v1/images_cache/thumbs/b62ca69f691ab2e7d4cf155f7f526aaf.webp?v=1790828461</t>
  </si>
  <si>
    <t>806b23ed-6b86-11ef-ab51-1cfd08767542#96459070-6b86-11ef-ab51-1cfd08767542</t>
  </si>
  <si>
    <t>https://www.lavrpack.ru/local/templates/phoenix_v1/images_cache/thumbs/540b8833279e2daea0c802698848c785.webp?v=1790828461</t>
  </si>
  <si>
    <t>905a29bd-5a64-11f1-ab50-22344d083d2c#aaeada36-5a64-11f1-ab50-22344d083d2c</t>
  </si>
  <si>
    <t>118536</t>
  </si>
  <si>
    <t>17,3л,</t>
  </si>
  <si>
    <t>905a29bd-5a64-11f1-ab50-22344d083d2c#988ab14e-5a64-11f1-ab50-22344d083d2c</t>
  </si>
  <si>
    <t>905a29bd-5a64-11f1-ab50-22344d083d2c#988ab194-5a64-11f1-ab50-22344d083d2c</t>
  </si>
  <si>
    <t>905a29bd-5a64-11f1-ab50-22344d083d2c#9eabd982-5a64-11f1-ab50-22344d083d2c</t>
  </si>
  <si>
    <t>ffb886ff-a675-11ef-ab3b-22344d083d2c#e8ddce7b-de1a-11ef-ab3c-22344d083d2c</t>
  </si>
  <si>
    <t>110526</t>
  </si>
  <si>
    <t>Горшок "Квадро" , Антрацит (1</t>
  </si>
  <si>
    <t>2л)</t>
  </si>
  <si>
    <t>https://www.lavrpack.ru/local/templates/phoenix_v1/images_cache/thumbs/0b9b42ddc5ecaaf8544bc10915184575.webp?v=1790788476</t>
  </si>
  <si>
    <t>ffb886ff-a675-11ef-ab3b-22344d083d2c#9132d380-de1b-11ef-ab3c-22344d083d2c</t>
  </si>
  <si>
    <t>Горшок "Квадро" , Антрацит (3</t>
  </si>
  <si>
    <t>3л)</t>
  </si>
  <si>
    <t>https://www.lavrpack.ru/local/templates/phoenix_v1/images_cache/thumbs/80fcc788b90726f4599d2445ff3ef367.webp?v=1790788476</t>
  </si>
  <si>
    <t>ffb886ff-a675-11ef-ab3b-22344d083d2c#cb731b93-284a-11f1-ab50-22344d083d2c</t>
  </si>
  <si>
    <t>Горшок "Квадро" , Антрацит (6</t>
  </si>
  <si>
    <t>6л)</t>
  </si>
  <si>
    <t>https://www.lavrpack.ru/local/templates/phoenix_v1/images_cache/thumbs/818ca2510e2879a45d581cf97384b5e3.webp?v=1790828461</t>
  </si>
  <si>
    <t>ffb886ff-a675-11ef-ab3b-22344d083d2c#b2e27ea8-363e-11f0-ab41-22344d083d2c</t>
  </si>
  <si>
    <t>Горшок "Квадро" , Антрацит(13л)</t>
  </si>
  <si>
    <t>https://www.lavrpack.ru/local/templates/phoenix_v1/images_cache/thumbs/3327a1ecce432a4659f01ecbfc3993ea.webp?v=1790788476</t>
  </si>
  <si>
    <t>ffb886ff-a675-11ef-ab3b-22344d083d2c#1577e1f9-a676-11ef-ab3b-22344d083d2c</t>
  </si>
  <si>
    <t>Горшок "Квадро" , Белый (1</t>
  </si>
  <si>
    <t>https://www.lavrpack.ru/local/templates/phoenix_v1/images_cache/thumbs/7d6270327e60a4212f652bdbfecc286d.webp?v=1790788476</t>
  </si>
  <si>
    <t>ffb886ff-a675-11ef-ab3b-22344d083d2c#51927d4c-a676-11ef-ab3b-22344d083d2c</t>
  </si>
  <si>
    <t>Горшок "Квадро" , Белый (3</t>
  </si>
  <si>
    <t>https://www.lavrpack.ru/local/templates/phoenix_v1/images_cache/thumbs/a990c8f4b5d7e0e547a5397884cff720.webp?v=1790788476</t>
  </si>
  <si>
    <t>ffb886ff-a675-11ef-ab3b-22344d083d2c#97c0b637-a676-11ef-ab3b-22344d083d2c</t>
  </si>
  <si>
    <t>Горшок "Квадро" , Белый (6</t>
  </si>
  <si>
    <t>https://www.lavrpack.ru/local/templates/phoenix_v1/images_cache/thumbs/72d6078228e6c1402917cfb22f9fbc4e.webp?v=1790788476</t>
  </si>
  <si>
    <t>ffb886ff-a675-11ef-ab3b-22344d083d2c#ccb058b7-a676-11ef-ab3b-22344d083d2c</t>
  </si>
  <si>
    <t>Горшок "Квадро" , Белый (13л)</t>
  </si>
  <si>
    <t>https://www.lavrpack.ru/local/templates/phoenix_v1/images_cache/thumbs/3ca7866c187b35c8976c101c7bb612eb.webp?v=1790788476</t>
  </si>
  <si>
    <t>ffb886ff-a675-11ef-ab3b-22344d083d2c#eab2ca39-a676-11ef-ab3b-22344d083d2c</t>
  </si>
  <si>
    <t>Горшок "Квадро" , Белый (23</t>
  </si>
  <si>
    <t>4л)</t>
  </si>
  <si>
    <t>https://www.lavrpack.ru/local/templates/phoenix_v1/images_cache/thumbs/a1b19d7d03d76027efee459d4dfd3c60.webp?v=1790788476</t>
  </si>
  <si>
    <t>ffb886ff-a675-11ef-ab3b-22344d083d2c#36067bf3-a676-11ef-ab3b-22344d083d2c</t>
  </si>
  <si>
    <t>Горшок "Квадро" , Ванильный (1</t>
  </si>
  <si>
    <t>https://www.lavrpack.ru/local/templates/phoenix_v1/images_cache/thumbs/42ddc616251d9ec7efb4d18bbfe63427.webp?v=1790788476</t>
  </si>
  <si>
    <t>ffb886ff-a675-11ef-ab3b-22344d083d2c#66814627-a676-11ef-ab3b-22344d083d2c</t>
  </si>
  <si>
    <t>Горшок "Квадро" , Ванильный (3</t>
  </si>
  <si>
    <t>https://www.lavrpack.ru/local/templates/phoenix_v1/images_cache/thumbs/3f4a9bf689c6645e5a8847714f3dde26.webp?v=1790788476</t>
  </si>
  <si>
    <t>ffb886ff-a675-11ef-ab3b-22344d083d2c#9dcd002b-de1b-11ef-ab3c-22344d083d2c</t>
  </si>
  <si>
    <t>Горшок "Квадро" , Вереск (3</t>
  </si>
  <si>
    <t>https://www.lavrpack.ru/local/templates/phoenix_v1/images_cache/thumbs/9dada4f84269318d76ae35693e348fd0.webp?v=1790788476</t>
  </si>
  <si>
    <t>ffb886ff-a675-11ef-ab3b-22344d083d2c#894568bb-1430-11f0-ab40-22344d083d2c</t>
  </si>
  <si>
    <t>Горшок "Квадро" , Медовый</t>
  </si>
  <si>
    <t>1,2л</t>
  </si>
  <si>
    <t>https://www.lavrpack.ru/local/templates/phoenix_v1/images_cache/thumbs/ffd6f4c50580c8075ec8989040068a07.webp?v=1790828461</t>
  </si>
  <si>
    <t>ffb886ff-a675-11ef-ab3b-22344d083d2c#8050a438-b7d8-11f1-ab51-22344d083d2c</t>
  </si>
  <si>
    <t>3,3л</t>
  </si>
  <si>
    <t>ffb886ff-a675-11ef-ab3b-22344d083d2c#ae0011ba-b7d8-11f1-ab51-22344d083d2c</t>
  </si>
  <si>
    <t>6,6л</t>
  </si>
  <si>
    <t>ffb886ff-a675-11ef-ab3b-22344d083d2c#ba4ce0dd-b7d8-11f1-ab51-22344d083d2c</t>
  </si>
  <si>
    <t>13л</t>
  </si>
  <si>
    <t>ffb886ff-a675-11ef-ab3b-22344d083d2c#02eb4555-de1b-11ef-ab3c-22344d083d2c</t>
  </si>
  <si>
    <t>Горшок "Квадро" , Нефрит (1</t>
  </si>
  <si>
    <t>https://www.lavrpack.ru/local/templates/phoenix_v1/images_cache/thumbs/a57cc35ed12047af09544836989938a4.webp?v=1790788476</t>
  </si>
  <si>
    <t>ffb886ff-a675-11ef-ab3b-22344d083d2c#b4575e9b-de1b-11ef-ab3c-22344d083d2c</t>
  </si>
  <si>
    <t>Горшок "Квадро" , Нефрит (3</t>
  </si>
  <si>
    <t>https://www.lavrpack.ru/local/templates/phoenix_v1/images_cache/thumbs/c443a9533cd1c5390c752b6483b75415.webp?v=1790788476</t>
  </si>
  <si>
    <t>ffb886ff-a675-11ef-ab3b-22344d083d2c#e02eff29-284a-11f1-ab50-22344d083d2c</t>
  </si>
  <si>
    <t>Горшок "Квадро" , Нефрит (6</t>
  </si>
  <si>
    <t>https://www.lavrpack.ru/local/templates/phoenix_v1/images_cache/thumbs/7993d74edfa9293df40db7a7b05dce6c.webp?v=1790828461</t>
  </si>
  <si>
    <t>ffb886ff-a675-11ef-ab3b-22344d083d2c#fdae76c6-8a38-11f0-ab48-22344d083d2c</t>
  </si>
  <si>
    <t>Горшок "Квадро" , Нефрит (23</t>
  </si>
  <si>
    <t>https://www.lavrpack.ru/local/templates/phoenix_v1/images_cache/thumbs/a488e6aa2dd1b680d701be66f2ddb3d2.webp?v=1790828461</t>
  </si>
  <si>
    <t>ffb886ff-a675-11ef-ab3b-22344d083d2c#fb652d8e-363e-11f0-ab41-22344d083d2c</t>
  </si>
  <si>
    <t>Горшок "Квадро" , Нефрит(13л)</t>
  </si>
  <si>
    <t>https://www.lavrpack.ru/local/templates/phoenix_v1/images_cache/thumbs/00c7643c2d2266ec5a6bde7092bdf098.webp?v=1790788476</t>
  </si>
  <si>
    <t>ffb886ff-a675-11ef-ab3b-22344d083d2c#bebb2334-de1a-11ef-ab3c-22344d083d2c</t>
  </si>
  <si>
    <t>Горшок "Квадро" , Прозрачный (1</t>
  </si>
  <si>
    <t>https://www.lavrpack.ru/local/templates/phoenix_v1/images_cache/thumbs/621699ca360a1c7cd5b88f2467bc347e.webp?v=1790788476</t>
  </si>
  <si>
    <t>ffb886ff-a675-11ef-ab3b-22344d083d2c#7eaa13dc-de1b-11ef-ab3c-22344d083d2c</t>
  </si>
  <si>
    <t>Горшок "Квадро" , Прозрачный (3</t>
  </si>
  <si>
    <t>https://www.lavrpack.ru/local/templates/phoenix_v1/images_cache/thumbs/f6e925e5adc53725b459aa10e7694e95.webp?v=1790788476</t>
  </si>
  <si>
    <t>ffb886ff-a675-11ef-ab3b-22344d083d2c#7991b6d6-a676-11ef-ab3b-22344d083d2c</t>
  </si>
  <si>
    <t>Горшок "Квадро" , Прозрачный (6</t>
  </si>
  <si>
    <t>https://www.lavrpack.ru/local/templates/phoenix_v1/images_cache/thumbs/acd80ae336418ec12e1c251cb64f1697.webp?v=1790828461</t>
  </si>
  <si>
    <t>ffb886ff-a675-11ef-ab3b-22344d083d2c#b23b29d7-1430-11f0-ab40-22344d083d2c</t>
  </si>
  <si>
    <t>Горшок "Квадро" , Фраппе (1</t>
  </si>
  <si>
    <t>https://www.lavrpack.ru/local/templates/phoenix_v1/images_cache/thumbs/ab675ff1238f8914caf0ad44ade35fb3.webp?v=1790828461</t>
  </si>
  <si>
    <t>ffb886ff-a675-11ef-ab3b-22344d083d2c#fdedcbeb-db3a-11f0-ab4d-22344d083d2c</t>
  </si>
  <si>
    <t>Горшок "Квадро" , Фраппе (3</t>
  </si>
  <si>
    <t>https://www.lavrpack.ru/local/templates/phoenix_v1/images_cache/thumbs/07ef1479a0998a7919a95f5a90e0d6e7.webp?v=1790828461</t>
  </si>
  <si>
    <t>ffb886ff-a675-11ef-ab3b-22344d083d2c#f9f87224-284a-11f1-ab50-22344d083d2c</t>
  </si>
  <si>
    <t>Горшок "Квадро" , Фраппе (6</t>
  </si>
  <si>
    <t>https://www.lavrpack.ru/local/templates/phoenix_v1/images_cache/thumbs/e309fd7a9f1ceced059df1651a4d2994.webp?v=1790828461</t>
  </si>
  <si>
    <t>ffb886ff-a675-11ef-ab3b-22344d083d2c#126fa7b0-8a39-11f0-ab48-22344d083d2c</t>
  </si>
  <si>
    <t>Горшок "Квадро" , Фраппе (23</t>
  </si>
  <si>
    <t>ffb886ff-a675-11ef-ab3b-22344d083d2c#22614dd9-363f-11f0-ab41-22344d083d2c</t>
  </si>
  <si>
    <t>Горшок "Квадро" , Фраппе(13л)</t>
  </si>
  <si>
    <t>https://www.lavrpack.ru/local/templates/phoenix_v1/images_cache/thumbs/69174ffb0158d0c993b53ccaeded3982.webp?v=1790828461</t>
  </si>
  <si>
    <t>6ecf557a-de1c-11ef-ab3c-22344d083d2c#7c32dcd9-de1c-11ef-ab3c-22344d083d2c</t>
  </si>
  <si>
    <t>111157</t>
  </si>
  <si>
    <t>Горшок "Конус Эко"</t>
  </si>
  <si>
    <t>Горчичный</t>
  </si>
  <si>
    <t>https://www.lavrpack.ru/local/templates/phoenix_v1/images_cache/thumbs/73b930499f2bba1d14f0e42f879dae2e.webp?v=1790788476</t>
  </si>
  <si>
    <t>5f08a601-de1d-11ef-ab3c-22344d083d2c#727194ec-de1d-11ef-ab3c-22344d083d2c</t>
  </si>
  <si>
    <t>111158</t>
  </si>
  <si>
    <t>5,2л,</t>
  </si>
  <si>
    <t>https://www.lavrpack.ru/local/templates/phoenix_v1/images_cache/thumbs/befc5d549f4b16a278487e8f1b91185e.webp?v=1790788476</t>
  </si>
  <si>
    <t>5f08a601-de1d-11ef-ab3c-22344d083d2c#6c29bc36-de1d-11ef-ab3c-22344d083d2c</t>
  </si>
  <si>
    <t>Малахит</t>
  </si>
  <si>
    <t>https://www.lavrpack.ru/local/templates/phoenix_v1/images_cache/thumbs/eb42ce292946395994e6438ff1204455.webp?v=1790828461</t>
  </si>
  <si>
    <t>5f08a601-de1d-11ef-ab3c-22344d083d2c#78ebaf38-de1d-11ef-ab3c-22344d083d2c</t>
  </si>
  <si>
    <t>Гранит</t>
  </si>
  <si>
    <t>https://www.lavrpack.ru/local/templates/phoenix_v1/images_cache/thumbs/756d3fc20d8c47b918433f501c83857f.webp?v=1790828461</t>
  </si>
  <si>
    <t>e2923066-1459-11f0-ab40-22344d083d2c#185a6751-5a6a-11f1-ab50-22344d083d2c</t>
  </si>
  <si>
    <t>112104</t>
  </si>
  <si>
    <t>Горшок "Лаура</t>
  </si>
  <si>
    <t>(с поддоном), Желтый</t>
  </si>
  <si>
    <t>0,7 л</t>
  </si>
  <si>
    <t>e2923066-1459-11f0-ab40-22344d083d2c#f008b743-1459-11f0-ab40-22344d083d2c</t>
  </si>
  <si>
    <t>144ccfcb-a5ab-11ef-ab3b-22344d083d2c#4ff5e282-a5ab-11ef-ab3b-22344d083d2c</t>
  </si>
  <si>
    <t>110514</t>
  </si>
  <si>
    <t>Горшок "Лаура"</t>
  </si>
  <si>
    <t>https://www.lavrpack.ru/local/templates/phoenix_v1/images_cache/thumbs/0bbc1ebdbd15c28832f61a9c5f28d919.webp?v=1790839573</t>
  </si>
  <si>
    <t>144ccfcb-a5ab-11ef-ab3b-22344d083d2c#621f1c1a-a5ab-11ef-ab3b-22344d083d2c</t>
  </si>
  <si>
    <t>Антрацит/белый</t>
  </si>
  <si>
    <t>https://www.lavrpack.ru/local/templates/phoenix_v1/images_cache/thumbs/a40c343abdaa9324a43141776efcf451.webp?v=1790839573</t>
  </si>
  <si>
    <t>144ccfcb-a5ab-11ef-ab3b-22344d083d2c#47f83a42-a5ab-11ef-ab3b-22344d083d2c</t>
  </si>
  <si>
    <t>https://www.lavrpack.ru/local/templates/phoenix_v1/images_cache/thumbs/2925def86bdc3d20b680211412a5fa98.webp?v=1790839573</t>
  </si>
  <si>
    <t>144ccfcb-a5ab-11ef-ab3b-22344d083d2c#530b827e-b7d9-11f1-ab51-22344d083d2c</t>
  </si>
  <si>
    <t>e54cbcc7-a5ac-11ef-ab3b-22344d083d2c#2a116c35-a5ad-11ef-ab3b-22344d083d2c</t>
  </si>
  <si>
    <t>110515</t>
  </si>
  <si>
    <t>2,3л,</t>
  </si>
  <si>
    <t>https://www.lavrpack.ru/local/templates/phoenix_v1/images_cache/thumbs/2eb659a32ebaa994d5212d1c1f2462e4.webp?v=1790839573</t>
  </si>
  <si>
    <t>e54cbcc7-a5ac-11ef-ab3b-22344d083d2c#84166433-b7d9-11f1-ab51-22344d083d2c</t>
  </si>
  <si>
    <t>https://www.lavrpack.ru/local/templates/phoenix_v1/images_cache/thumbs/75e9d50bbf75b2302332e13c26cbd9fe.webp?v=1790839573</t>
  </si>
  <si>
    <t>e54cbcc7-a5ac-11ef-ab3b-22344d083d2c#17cd8f66-a5ad-11ef-ab3b-22344d083d2c</t>
  </si>
  <si>
    <t>https://www.lavrpack.ru/local/templates/phoenix_v1/images_cache/thumbs/db32163a2ed6bb94b0eb3bd5e47ac283.webp?v=1790839573</t>
  </si>
  <si>
    <t>e54cbcc7-a5ac-11ef-ab3b-22344d083d2c#114a3dd5-a5ad-11ef-ab3b-22344d083d2c</t>
  </si>
  <si>
    <t>619cfafd-a5ae-11ef-ab3b-22344d083d2c#a4f64a8b-a5ae-11ef-ab3b-22344d083d2c</t>
  </si>
  <si>
    <t>110516</t>
  </si>
  <si>
    <t>3,7л,</t>
  </si>
  <si>
    <t>https://www.lavrpack.ru/local/templates/phoenix_v1/images_cache/thumbs/24adb877c4f1d49317f507346e734f46.webp?v=1790839573</t>
  </si>
  <si>
    <t>619cfafd-a5ae-11ef-ab3b-22344d083d2c#96e930a6-a5ae-11ef-ab3b-22344d083d2c</t>
  </si>
  <si>
    <t>https://www.lavrpack.ru/local/templates/phoenix_v1/images_cache/thumbs/3f53d47e437ca60c50c27c2f4b69bab8.webp?v=1790839573</t>
  </si>
  <si>
    <t>619cfafd-a5ae-11ef-ab3b-22344d083d2c#8f451e15-a5ae-11ef-ab3b-22344d083d2c</t>
  </si>
  <si>
    <t>https://www.lavrpack.ru/local/templates/phoenix_v1/images_cache/thumbs/5ec2a9637f3948ac08d4757179bcaf05.webp?v=1790839573</t>
  </si>
  <si>
    <t>d6f27d19-a5af-11ef-ab3b-22344d083d2c#faa14083-a5af-11ef-ab3b-22344d083d2c</t>
  </si>
  <si>
    <t>110517</t>
  </si>
  <si>
    <t>Красный</t>
  </si>
  <si>
    <t>https://www.lavrpack.ru/local/templates/phoenix_v1/images_cache/thumbs/203bffc00a9d221715ec49a18e50918f.webp?v=1790788476</t>
  </si>
  <si>
    <t>d6f27d19-a5af-11ef-ab3b-22344d083d2c#fe032303-b7d9-11f1-ab51-22344d083d2c</t>
  </si>
  <si>
    <t>d6f27d19-a5af-11ef-ab3b-22344d083d2c#f3f93280-a5af-11ef-ab3b-22344d083d2c</t>
  </si>
  <si>
    <t>Мята</t>
  </si>
  <si>
    <t>https://www.lavrpack.ru/local/templates/phoenix_v1/images_cache/thumbs/8a66912f46206bc0322c6a4f5e8da640.webp?v=1790788476</t>
  </si>
  <si>
    <t>d6f27d19-a5af-11ef-ab3b-22344d083d2c#e54c8d0d-a5af-11ef-ab3b-22344d083d2c</t>
  </si>
  <si>
    <t>https://www.lavrpack.ru/local/templates/phoenix_v1/images_cache/thumbs/790e16c83773f98de377506841021155.webp?v=1790839573</t>
  </si>
  <si>
    <t>d6f27d19-a5af-11ef-ab3b-22344d083d2c#00c412e1-a5b0-11ef-ab3b-22344d083d2c</t>
  </si>
  <si>
    <t>Папоротник</t>
  </si>
  <si>
    <t>https://www.lavrpack.ru/local/templates/phoenix_v1/images_cache/thumbs/1c6677239f6434974088ec1bfd1d1861.webp?v=1790788476</t>
  </si>
  <si>
    <t>d6f27d19-a5af-11ef-ab3b-22344d083d2c#ec708cce-a5af-11ef-ab3b-22344d083d2c</t>
  </si>
  <si>
    <t>https://www.lavrpack.ru/local/templates/phoenix_v1/images_cache/thumbs/4c1d8dfa69f5a7afe31fd9f3802906d8.webp?v=1790839573</t>
  </si>
  <si>
    <t>d6f27d19-a5af-11ef-ab3b-22344d083d2c#03fb4f8f-b7da-11f1-ab51-22344d083d2c</t>
  </si>
  <si>
    <t>34296a8b-a639-11ef-ab3b-22344d083d2c#41527c88-a639-11ef-ab3b-22344d083d2c</t>
  </si>
  <si>
    <t>110518</t>
  </si>
  <si>
    <t>9л,</t>
  </si>
  <si>
    <t>https://www.lavrpack.ru/local/templates/phoenix_v1/images_cache/thumbs/10ec277325ca5e124f07372f3c860b9e.webp?v=1790839573</t>
  </si>
  <si>
    <t>34296a8b-a639-11ef-ab3b-22344d083d2c#6157a716-a639-11ef-ab3b-22344d083d2c</t>
  </si>
  <si>
    <t>https://www.lavrpack.ru/local/templates/phoenix_v1/images_cache/thumbs/02278368b2fb7adf4806ce6cb4344cf8.webp?v=1790788476</t>
  </si>
  <si>
    <t>34296a8b-a639-11ef-ab3b-22344d083d2c#55018ff8-a639-11ef-ab3b-22344d083d2c</t>
  </si>
  <si>
    <t>https://www.lavrpack.ru/local/templates/phoenix_v1/images_cache/thumbs/b4149e31dccedb48284dd4e8af7bcaa1.webp?v=1790788476</t>
  </si>
  <si>
    <t>34296a8b-a639-11ef-ab3b-22344d083d2c#5b127e1d-a639-11ef-ab3b-22344d083d2c</t>
  </si>
  <si>
    <t>dd0d4d3a-a63a-11ef-ab3b-22344d083d2c#6a0d285e-a63b-11ef-ab3b-22344d083d2c</t>
  </si>
  <si>
    <t>110519</t>
  </si>
  <si>
    <t>16,6л,</t>
  </si>
  <si>
    <t>https://www.lavrpack.ru/local/templates/phoenix_v1/images_cache/thumbs/d94e7b9c2ba3e74beaef1a40edfa4124.webp?v=1790839573</t>
  </si>
  <si>
    <t>dd0d4d3a-a63a-11ef-ab3b-22344d083d2c#3d224921-a63b-11ef-ab3b-22344d083d2c</t>
  </si>
  <si>
    <t>https://www.lavrpack.ru/local/templates/phoenix_v1/images_cache/thumbs/f1e8cf1046724d185e7b7be18644ca37.webp?v=1790788476</t>
  </si>
  <si>
    <t>dd0d4d3a-a63a-11ef-ab3b-22344d083d2c#160e5054-a63b-11ef-ab3b-22344d083d2c</t>
  </si>
  <si>
    <t>https://www.lavrpack.ru/local/templates/phoenix_v1/images_cache/thumbs/b0f8121cf9a40068be7e39d02f3b699f.webp?v=1790839573</t>
  </si>
  <si>
    <t>dd0d4d3a-a63a-11ef-ab3b-22344d083d2c#6314d980-a63b-11ef-ab3b-22344d083d2c</t>
  </si>
  <si>
    <t>https://www.lavrpack.ru/local/templates/phoenix_v1/images_cache/thumbs/4027565dce0ff70cc7bb851cfcfe62d0.webp?v=1790828461</t>
  </si>
  <si>
    <t>dd0d4d3a-a63a-11ef-ab3b-22344d083d2c#5d18a393-a63b-11ef-ab3b-22344d083d2c</t>
  </si>
  <si>
    <t>https://www.lavrpack.ru/local/templates/phoenix_v1/images_cache/thumbs/c7e4b0de530dbb2794f09e9acb49ba24.webp?v=1790839573</t>
  </si>
  <si>
    <t>c8d1d674-a598-11ef-ab3b-22344d083d2c#db847201-a598-11ef-ab3b-22344d083d2c</t>
  </si>
  <si>
    <t>110503</t>
  </si>
  <si>
    <t>Горшок "Лион"</t>
  </si>
  <si>
    <t>https://www.lavrpack.ru/local/templates/phoenix_v1/images_cache/thumbs/c8217cec0191683a6bb82af9042070b3.webp?v=1790839573</t>
  </si>
  <si>
    <t>c8d1d674-a598-11ef-ab3b-22344d083d2c#1a5d4dfb-a599-11ef-ab3b-22344d083d2c</t>
  </si>
  <si>
    <t>Фраппе-белый</t>
  </si>
  <si>
    <t>https://www.lavrpack.ru/local/templates/phoenix_v1/images_cache/thumbs/3062107665b91c3e13c5a904d3f31ab7.webp?v=1790839573</t>
  </si>
  <si>
    <t>c8d1d674-a598-11ef-ab3b-22344d083d2c#10865fab-a599-11ef-ab3b-22344d083d2c</t>
  </si>
  <si>
    <t>Серый муссон-белый</t>
  </si>
  <si>
    <t>https://www.lavrpack.ru/local/templates/phoenix_v1/images_cache/thumbs/75971abe2c36aa4d901dec464b5f527f.webp?v=1790839573</t>
  </si>
  <si>
    <t>3eaaac35-a59d-11ef-ab3b-22344d083d2c#b16e12c4-a59d-11ef-ab3b-22344d083d2c</t>
  </si>
  <si>
    <t>110504</t>
  </si>
  <si>
    <t>https://www.lavrpack.ru/local/templates/phoenix_v1/images_cache/thumbs/9c9284e2b7690df954a8c9bff4d9c4d6.webp?v=1790839573</t>
  </si>
  <si>
    <t>3eaaac35-a59d-11ef-ab3b-22344d083d2c#c496004a-a59d-11ef-ab3b-22344d083d2c</t>
  </si>
  <si>
    <t>https://www.lavrpack.ru/local/templates/phoenix_v1/images_cache/thumbs/75ca37fbea9bea48d0dcc9d401ad264a.webp?v=1790839573</t>
  </si>
  <si>
    <t>3eaaac35-a59d-11ef-ab3b-22344d083d2c#5c15b9c2-a59d-11ef-ab3b-22344d083d2c</t>
  </si>
  <si>
    <t>Белый-белый</t>
  </si>
  <si>
    <t>https://www.lavrpack.ru/local/templates/phoenix_v1/images_cache/thumbs/8c4b36558dee58da059c9bbe33c379fb.webp?v=1790839573</t>
  </si>
  <si>
    <t>7d1dd8a8-a5a0-11ef-ab3b-22344d083d2c#96693032-363c-11f0-ab41-22344d083d2c</t>
  </si>
  <si>
    <t>110505</t>
  </si>
  <si>
    <t>https://www.lavrpack.ru/local/templates/phoenix_v1/images_cache/thumbs/d4aa73dcce11a853f9bd5e5a9c0ae29a.webp?v=1790839573</t>
  </si>
  <si>
    <t>7d1dd8a8-a5a0-11ef-ab3b-22344d083d2c#af72606a-a5a0-11ef-ab3b-22344d083d2c</t>
  </si>
  <si>
    <t>Лаванда-белый</t>
  </si>
  <si>
    <t>https://www.lavrpack.ru/local/templates/phoenix_v1/images_cache/thumbs/3d892116c58078c154e260d318854640.webp?v=1790788476</t>
  </si>
  <si>
    <t>7d1dd8a8-a5a0-11ef-ab3b-22344d083d2c#d4b4c198-a5a0-11ef-ab3b-22344d083d2c</t>
  </si>
  <si>
    <t>https://www.lavrpack.ru/local/templates/phoenix_v1/images_cache/thumbs/555c3f31cd3acdb6b49e0ac5049c4029.webp?v=1790839573</t>
  </si>
  <si>
    <t>7d1dd8a8-a5a0-11ef-ab3b-22344d083d2c#966e437e-a5a0-11ef-ab3b-22344d083d2c</t>
  </si>
  <si>
    <t>https://www.lavrpack.ru/local/templates/phoenix_v1/images_cache/thumbs/da54ed8d7745798abb312d953f7532ed.webp?v=1790839573</t>
  </si>
  <si>
    <t>7d1dd8a8-a5a0-11ef-ab3b-22344d083d2c#b59c767c-a5a0-11ef-ab3b-22344d083d2c</t>
  </si>
  <si>
    <t>https://www.lavrpack.ru/local/templates/phoenix_v1/images_cache/thumbs/b368a845a20bfe76564c93f651805455.webp?v=1790788476</t>
  </si>
  <si>
    <t>02877e1e-a5a2-11ef-ab3b-22344d083d2c#0fcbe6c8-a5a2-11ef-ab3b-22344d083d2c</t>
  </si>
  <si>
    <t>110506</t>
  </si>
  <si>
    <t>5,6л,</t>
  </si>
  <si>
    <t>https://www.lavrpack.ru/local/templates/phoenix_v1/images_cache/thumbs/1493a9a9b61e7c059ba8575a11d1e32a.webp?v=1790839573</t>
  </si>
  <si>
    <t>02877e1e-a5a2-11ef-ab3b-22344d083d2c#266c56ab-a5a2-11ef-ab3b-22344d083d2c</t>
  </si>
  <si>
    <t>https://www.lavrpack.ru/local/templates/phoenix_v1/images_cache/thumbs/465fd0c7fcb4027fb44a9f34971b3f2b.webp?v=1790839573</t>
  </si>
  <si>
    <t>02877e1e-a5a2-11ef-ab3b-22344d083d2c#202c0613-a5a2-11ef-ab3b-22344d083d2c</t>
  </si>
  <si>
    <t>Розовый-белый</t>
  </si>
  <si>
    <t>https://www.lavrpack.ru/local/templates/phoenix_v1/images_cache/thumbs/5c4d289f23882c1f2d37ac85a20c7f72.webp?v=1790788476</t>
  </si>
  <si>
    <t>02877e1e-a5a2-11ef-ab3b-22344d083d2c#2c88d3e1-a5a2-11ef-ab3b-22344d083d2c</t>
  </si>
  <si>
    <t>https://www.lavrpack.ru/local/templates/phoenix_v1/images_cache/thumbs/7e0d5b237ec97f025006aea161546214.webp?v=1790839573</t>
  </si>
  <si>
    <t>5f8f6b8a-a5a3-11ef-ab3b-22344d083d2c#bb533e0e-a5a3-11ef-ab3b-22344d083d2c</t>
  </si>
  <si>
    <t>110507</t>
  </si>
  <si>
    <t>https://www.lavrpack.ru/local/templates/phoenix_v1/images_cache/thumbs/b9e4610b3fb8dc7472a58bc18afdbcb5.webp?v=1790828461</t>
  </si>
  <si>
    <t>5f8f6b8a-a5a3-11ef-ab3b-22344d083d2c#c89afdb5-a5a3-11ef-ab3b-22344d083d2c</t>
  </si>
  <si>
    <t>https://www.lavrpack.ru/local/templates/phoenix_v1/images_cache/thumbs/85291a503d39b8a5b3d3469bf51f7827.webp?v=1790828461</t>
  </si>
  <si>
    <t>5f8f6b8a-a5a3-11ef-ab3b-22344d083d2c#b519cb45-a5a3-11ef-ab3b-22344d083d2c</t>
  </si>
  <si>
    <t>https://www.lavrpack.ru/local/templates/phoenix_v1/images_cache/thumbs/13a942b05e696f3893283bd700264211.webp?v=1790788476</t>
  </si>
  <si>
    <t>5f8f6b8a-a5a3-11ef-ab3b-22344d083d2c#adc4ae76-a5a3-11ef-ab3b-22344d083d2c</t>
  </si>
  <si>
    <t>https://www.lavrpack.ru/local/templates/phoenix_v1/images_cache/thumbs/b09b0861cb6748bede054a31550d8010.webp?v=1790839573</t>
  </si>
  <si>
    <t>5f8f6b8a-a5a3-11ef-ab3b-22344d083d2c#cefc30c1-a5a3-11ef-ab3b-22344d083d2c</t>
  </si>
  <si>
    <t>c05e030f-a5a4-11ef-ab3b-22344d083d2c#e2d83dee-a5a4-11ef-ab3b-22344d083d2c</t>
  </si>
  <si>
    <t>110508</t>
  </si>
  <si>
    <t>https://www.lavrpack.ru/local/templates/phoenix_v1/images_cache/thumbs/5f8b61e49a7c314b587c16feeff5ff21.webp?v=1790788476</t>
  </si>
  <si>
    <t>c05e030f-a5a4-11ef-ab3b-22344d083d2c#d66bd1d1-a5a4-11ef-ab3b-22344d083d2c</t>
  </si>
  <si>
    <t>https://www.lavrpack.ru/local/templates/phoenix_v1/images_cache/thumbs/d51965b400aeac047b02953adbd2043c.webp?v=1790828461</t>
  </si>
  <si>
    <t>c05e030f-a5a4-11ef-ab3b-22344d083d2c#cf9d58eb-a5a4-11ef-ab3b-22344d083d2c</t>
  </si>
  <si>
    <t>https://www.lavrpack.ru/local/templates/phoenix_v1/images_cache/thumbs/0a9197c65525692f51428dad7af0357a.webp?v=1790828461</t>
  </si>
  <si>
    <t>c05e030f-a5a4-11ef-ab3b-22344d083d2c#c7f3fd4b-a5a4-11ef-ab3b-22344d083d2c</t>
  </si>
  <si>
    <t>https://www.lavrpack.ru/local/templates/phoenix_v1/images_cache/thumbs/ce0abec365345aedec2cd6869d68a9ac.webp?v=1790839573</t>
  </si>
  <si>
    <t>c05e030f-a5a4-11ef-ab3b-22344d083d2c#ed8c4a6f-a5a4-11ef-ab3b-22344d083d2c</t>
  </si>
  <si>
    <t>https://www.lavrpack.ru/local/templates/phoenix_v1/images_cache/thumbs/b038927c62f0b0f12c9daaf9fa6d0ce4.webp?v=1790839573</t>
  </si>
  <si>
    <t>bfbf4756-6c20-11ef-ab51-1cfd08767542#c77c88a8-6c20-11ef-ab51-1cfd08767542</t>
  </si>
  <si>
    <t>109376</t>
  </si>
  <si>
    <t>Горшок "Магнолия Эко"</t>
  </si>
  <si>
    <t>https://www.lavrpack.ru/local/templates/phoenix_v1/images_cache/thumbs/283eafba2891ec8e59a50bb87cb77a81.webp?v=1790788476</t>
  </si>
  <si>
    <t>bfbf4756-6c20-11ef-ab51-1cfd08767542#df2921fb-6c20-11ef-ab51-1cfd08767542</t>
  </si>
  <si>
    <t>Слоновая кость</t>
  </si>
  <si>
    <t>https://www.lavrpack.ru/local/templates/phoenix_v1/images_cache/thumbs/915fd60c2dc7c1034cc810bb80fc7865.webp?v=1790788476</t>
  </si>
  <si>
    <t>9b10a3c5-a70d-11ef-ab3b-22344d083d2c#e11faf8d-a70d-11ef-ab3b-22344d083d2c</t>
  </si>
  <si>
    <t>110543</t>
  </si>
  <si>
    <t>Горшок "Миска сигма"</t>
  </si>
  <si>
    <t>4,5л,</t>
  </si>
  <si>
    <t>https://www.lavrpack.ru/local/templates/phoenix_v1/images_cache/thumbs/088f41193193e0bb601d5292c0f99eb2.webp?v=1790839573</t>
  </si>
  <si>
    <t>9b10a3c5-a70d-11ef-ab3b-22344d083d2c#fd254f91-a70d-11ef-ab3b-22344d083d2c</t>
  </si>
  <si>
    <t>9b10a3c5-a70d-11ef-ab3b-22344d083d2c#f4e30ae2-a70d-11ef-ab3b-22344d083d2c</t>
  </si>
  <si>
    <t>https://www.lavrpack.ru/local/templates/phoenix_v1/images_cache/thumbs/ce3f42425109585bf7f6ffc3c0035cb1.webp?v=1790839573</t>
  </si>
  <si>
    <t>9b10a3c5-a70d-11ef-ab3b-22344d083d2c#daca546f-a70d-11ef-ab3b-22344d083d2c</t>
  </si>
  <si>
    <t>9b10a3c5-a70d-11ef-ab3b-22344d083d2c#1234912a-a70e-11ef-ab3b-22344d083d2c</t>
  </si>
  <si>
    <t>https://www.lavrpack.ru/local/templates/phoenix_v1/images_cache/thumbs/ab16ff5a9505d440f2497efcb461d752.webp?v=1790839573</t>
  </si>
  <si>
    <t>9b10a3c5-a70d-11ef-ab3b-22344d083d2c#ed520c3c-a70d-11ef-ab3b-22344d083d2c</t>
  </si>
  <si>
    <t>b379d602-b7db-11f1-ab51-22344d083d2c#b379d74a-b7db-11f1-ab51-22344d083d2c</t>
  </si>
  <si>
    <t>120409</t>
  </si>
  <si>
    <t>7,9л,</t>
  </si>
  <si>
    <t>b379d602-b7db-11f1-ab51-22344d083d2c#b379d701-b7db-11f1-ab51-22344d083d2c</t>
  </si>
  <si>
    <t>b379d602-b7db-11f1-ab51-22344d083d2c#b379d793-b7db-11f1-ab51-22344d083d2c</t>
  </si>
  <si>
    <t>b379d602-b7db-11f1-ab51-22344d083d2c#b379d66f-b7db-11f1-ab51-22344d083d2c</t>
  </si>
  <si>
    <t>b379d602-b7db-11f1-ab51-22344d083d2c#b379d6b8-b7db-11f1-ab51-22344d083d2c</t>
  </si>
  <si>
    <t>b379d602-b7db-11f1-ab51-22344d083d2c#b379d825-b7db-11f1-ab51-22344d083d2c</t>
  </si>
  <si>
    <t>b379d602-b7db-11f1-ab51-22344d083d2c#b379d7dc-b7db-11f1-ab51-22344d083d2c</t>
  </si>
  <si>
    <t>cae1f795-a642-11ef-ab3b-22344d083d2c#ed2b4bd3-a642-11ef-ab3b-22344d083d2c</t>
  </si>
  <si>
    <t>110522</t>
  </si>
  <si>
    <t>Горшок "Нард"</t>
  </si>
  <si>
    <t>2,1л,</t>
  </si>
  <si>
    <t>https://www.lavrpack.ru/local/templates/phoenix_v1/images_cache/thumbs/5554d6cf464110288aebe3bf936166e3.webp?v=1790788476</t>
  </si>
  <si>
    <t>cae1f795-a642-11ef-ab3b-22344d083d2c#03739a11-a643-11ef-ab3b-22344d083d2c</t>
  </si>
  <si>
    <t>https://www.lavrpack.ru/local/templates/phoenix_v1/images_cache/thumbs/85866b0181251ec8dc4056173523a34c.webp?v=1790788476</t>
  </si>
  <si>
    <t>cae1f795-a642-11ef-ab3b-22344d083d2c#d8024555-a642-11ef-ab3b-22344d083d2c</t>
  </si>
  <si>
    <t>https://www.lavrpack.ru/local/templates/phoenix_v1/images_cache/thumbs/e57f8564d6988698df16230ee3a67523.webp?v=1790788476</t>
  </si>
  <si>
    <t>cae1f795-a642-11ef-ab3b-22344d083d2c#e71783de-a642-11ef-ab3b-22344d083d2c</t>
  </si>
  <si>
    <t>https://www.lavrpack.ru/local/templates/phoenix_v1/images_cache/thumbs/f3a4ef41a9509445fa3b2a73dde13085.webp?v=1790788476</t>
  </si>
  <si>
    <t>cae1f795-a642-11ef-ab3b-22344d083d2c#e1006672-a642-11ef-ab3b-22344d083d2c</t>
  </si>
  <si>
    <t>https://www.lavrpack.ru/local/templates/phoenix_v1/images_cache/thumbs/26d24b20c83c621c70ce562b24aa3d99.webp?v=1790788476</t>
  </si>
  <si>
    <t>cae1f795-a642-11ef-ab3b-22344d083d2c#f88f2329-a642-11ef-ab3b-22344d083d2c</t>
  </si>
  <si>
    <t>Розовая пудра</t>
  </si>
  <si>
    <t>https://www.lavrpack.ru/local/templates/phoenix_v1/images_cache/thumbs/7abc27f53651287f45236c852002c0ea.webp?v=1790788476</t>
  </si>
  <si>
    <t>cae1f795-a642-11ef-ab3b-22344d083d2c#17968c33-a645-11ef-ab3b-22344d083d2c</t>
  </si>
  <si>
    <t>https://www.lavrpack.ru/local/templates/phoenix_v1/images_cache/thumbs/802e2fdcfc0cf69343482d405d8e6328.webp?v=1790788476</t>
  </si>
  <si>
    <t>00a8032a-a648-11ef-ab3b-22344d083d2c#273a1e00-a648-11ef-ab3b-22344d083d2c</t>
  </si>
  <si>
    <t>110523</t>
  </si>
  <si>
    <t>5,5л,</t>
  </si>
  <si>
    <t>https://www.lavrpack.ru/local/templates/phoenix_v1/images_cache/thumbs/1197b8f5426bb30ade3adee615487791.webp?v=1790788476</t>
  </si>
  <si>
    <t>00a8032a-a648-11ef-ab3b-22344d083d2c#207c8969-a648-11ef-ab3b-22344d083d2c</t>
  </si>
  <si>
    <t>https://www.lavrpack.ru/local/templates/phoenix_v1/images_cache/thumbs/cbd001234737aa2cdfbcb0a9359c5144.webp?v=1790788476</t>
  </si>
  <si>
    <t>00a8032a-a648-11ef-ab3b-22344d083d2c#459e5f27-a648-11ef-ab3b-22344d083d2c</t>
  </si>
  <si>
    <t>https://www.lavrpack.ru/local/templates/phoenix_v1/images_cache/thumbs/c399b54e1393d664d8293add1f600adf.webp?v=1790788476</t>
  </si>
  <si>
    <t>00a8032a-a648-11ef-ab3b-22344d083d2c#09271bc9-a648-11ef-ab3b-22344d083d2c</t>
  </si>
  <si>
    <t>https://www.lavrpack.ru/local/templates/phoenix_v1/images_cache/thumbs/8b4724d67af588faf2995665abdd7a64.webp?v=1790788476</t>
  </si>
  <si>
    <t>00a8032a-a648-11ef-ab3b-22344d083d2c#327e8647-a648-11ef-ab3b-22344d083d2c</t>
  </si>
  <si>
    <t>https://www.lavrpack.ru/local/templates/phoenix_v1/images_cache/thumbs/087d93ef1299c1bad8a9107ec95a54f6.webp?v=1790788476</t>
  </si>
  <si>
    <t>3658d17c-a70f-11ef-ab3b-22344d083d2c#9b65463b-a70f-11ef-ab3b-22344d083d2c</t>
  </si>
  <si>
    <t>110547</t>
  </si>
  <si>
    <t>Горшок "Омега"</t>
  </si>
  <si>
    <t>Серый муссон-антрацит</t>
  </si>
  <si>
    <t>2,4л,</t>
  </si>
  <si>
    <t>https://www.lavrpack.ru/local/templates/phoenix_v1/images_cache/thumbs/25ff534bf87e8fc4c49b1be3f99fdea0.webp?v=1790788476</t>
  </si>
  <si>
    <t>3658d17c-a70f-11ef-ab3b-22344d083d2c#4a005179-a70f-11ef-ab3b-22344d083d2c</t>
  </si>
  <si>
    <t>https://www.lavrpack.ru/local/templates/phoenix_v1/images_cache/thumbs/8a60c8cd5ebbcbc1bc6e30a3948e7f97.webp?v=1790788476</t>
  </si>
  <si>
    <t>3658d17c-a70f-11ef-ab3b-22344d083d2c#6df27bef-a70f-11ef-ab3b-22344d083d2c</t>
  </si>
  <si>
    <t>https://www.lavrpack.ru/local/templates/phoenix_v1/images_cache/thumbs/67c6dcef6f6666f3ab95ec255651597d.webp?v=1790788476</t>
  </si>
  <si>
    <t>3658d17c-a70f-11ef-ab3b-22344d083d2c#7ff512c4-a70f-11ef-ab3b-22344d083d2c</t>
  </si>
  <si>
    <t>https://www.lavrpack.ru/local/templates/phoenix_v1/images_cache/thumbs/5eb7dddc01e023430a8691bb8e853de3.webp?v=1790788476</t>
  </si>
  <si>
    <t>3658d17c-a70f-11ef-ab3b-22344d083d2c#750bbfbb-a70f-11ef-ab3b-22344d083d2c</t>
  </si>
  <si>
    <t>https://www.lavrpack.ru/local/templates/phoenix_v1/images_cache/thumbs/dbade35601e28e5afeb59debfdfeec80.webp?v=1790788476</t>
  </si>
  <si>
    <t>5c0f0b9b-a710-11ef-ab3b-22344d083d2c#851d0da0-a710-11ef-ab3b-22344d083d2c</t>
  </si>
  <si>
    <t>110549</t>
  </si>
  <si>
    <t>5,3л,</t>
  </si>
  <si>
    <t>https://www.lavrpack.ru/local/templates/phoenix_v1/images_cache/thumbs/5b62fdf3c7af79ff1ee0233cbb2ef9ec.webp?v=1790788476</t>
  </si>
  <si>
    <t>5c0f0b9b-a710-11ef-ab3b-22344d083d2c#8d210924-a710-11ef-ab3b-22344d083d2c</t>
  </si>
  <si>
    <t>https://www.lavrpack.ru/local/templates/phoenix_v1/images_cache/thumbs/d31fdc706e9b3993b0c0f4183a9f2759.webp?v=1790788476</t>
  </si>
  <si>
    <t>5c0f0b9b-a710-11ef-ab3b-22344d083d2c#70a8394c-a710-11ef-ab3b-22344d083d2c</t>
  </si>
  <si>
    <t>https://www.lavrpack.ru/local/templates/phoenix_v1/images_cache/thumbs/566fc1df2e903c967c6698bc839cff88.webp?v=1790788476</t>
  </si>
  <si>
    <t>5c0f0b9b-a710-11ef-ab3b-22344d083d2c#7d1d0455-a710-11ef-ab3b-22344d083d2c</t>
  </si>
  <si>
    <t>https://www.lavrpack.ru/local/templates/phoenix_v1/images_cache/thumbs/d9af5dadb3c4c1ff85fda5c5d890af21.webp?v=1790788476</t>
  </si>
  <si>
    <t>5c0f0b9b-a710-11ef-ab3b-22344d083d2c#a2ce4d4f-a710-11ef-ab3b-22344d083d2c</t>
  </si>
  <si>
    <t>https://www.lavrpack.ru/local/templates/phoenix_v1/images_cache/thumbs/008d5fbb3aebbecb70de7a02204bcc08.webp?v=1790788476</t>
  </si>
  <si>
    <t>58697505-a711-11ef-ab3b-22344d083d2c#88bd5f0f-a711-11ef-ab3b-22344d083d2c</t>
  </si>
  <si>
    <t>110551</t>
  </si>
  <si>
    <t>8л,</t>
  </si>
  <si>
    <t>https://www.lavrpack.ru/local/templates/phoenix_v1/images_cache/thumbs/43787e5205b0e0c83966dd00c9bb3fdf.webp?v=1790788476</t>
  </si>
  <si>
    <t>58697505-a711-11ef-ab3b-22344d083d2c#81c532f9-a711-11ef-ab3b-22344d083d2c</t>
  </si>
  <si>
    <t>https://www.lavrpack.ru/local/templates/phoenix_v1/images_cache/thumbs/4526da6caccc762adaf56b11bb1e7224.webp?v=1790788476</t>
  </si>
  <si>
    <t>58697505-a711-11ef-ab3b-22344d083d2c#721dec4a-a711-11ef-ab3b-22344d083d2c</t>
  </si>
  <si>
    <t>https://www.lavrpack.ru/local/templates/phoenix_v1/images_cache/thumbs/855bbc88f654a28ba686849ace403bd3.webp?v=1790788476</t>
  </si>
  <si>
    <t>58697505-a711-11ef-ab3b-22344d083d2c#7a6334a0-a711-11ef-ab3b-22344d083d2c</t>
  </si>
  <si>
    <t>https://www.lavrpack.ru/local/templates/phoenix_v1/images_cache/thumbs/13af5e808a00f9a9aacba8290c83090c.webp?v=1790788476</t>
  </si>
  <si>
    <t>58697505-a711-11ef-ab3b-22344d083d2c#960e5a43-a711-11ef-ab3b-22344d083d2c</t>
  </si>
  <si>
    <t>https://www.lavrpack.ru/local/templates/phoenix_v1/images_cache/thumbs/c2b9afa89190f29387d1092f7c654157.webp?v=1790788476</t>
  </si>
  <si>
    <t>58697505-a711-11ef-ab3b-22344d083d2c#6a5519d2-a711-11ef-ab3b-22344d083d2c</t>
  </si>
  <si>
    <t>https://www.lavrpack.ru/local/templates/phoenix_v1/images_cache/thumbs/1b701e4316dc63d1470a3f8ee7378930.webp?v=1790788476</t>
  </si>
  <si>
    <t>58697505-a711-11ef-ab3b-22344d083d2c#8f522f15-a711-11ef-ab3b-22344d083d2c</t>
  </si>
  <si>
    <t>https://www.lavrpack.ru/local/templates/phoenix_v1/images_cache/thumbs/42bd5c7cb8219ad865cccf20c8098a34.webp?v=1790788476</t>
  </si>
  <si>
    <t>7b8fbae7-a5a9-11ef-ab3b-22344d083d2c#a4fe90eb-a5a9-11ef-ab3b-22344d083d2c</t>
  </si>
  <si>
    <t>110512</t>
  </si>
  <si>
    <t>Горшок "Орион"</t>
  </si>
  <si>
    <t>Лаванда</t>
  </si>
  <si>
    <t>https://www.lavrpack.ru/local/templates/phoenix_v1/images_cache/thumbs/2a4e0f122f960bdca2c0535d8ea7fca2.webp?v=1790788476</t>
  </si>
  <si>
    <t>7b8fbae7-a5a9-11ef-ab3b-22344d083d2c#b1d6e727-a5a9-11ef-ab3b-22344d083d2c</t>
  </si>
  <si>
    <t>https://www.lavrpack.ru/local/templates/phoenix_v1/images_cache/thumbs/485fe13c6b5dc3e6914644fbc7da10ab.webp?v=1790788476</t>
  </si>
  <si>
    <t>7b8fbae7-a5a9-11ef-ab3b-22344d083d2c#befd11f3-a5a9-11ef-ab3b-22344d083d2c</t>
  </si>
  <si>
    <t>https://www.lavrpack.ru/local/templates/phoenix_v1/images_cache/thumbs/9be91290125ddb1230bd2bf053d56cd9.webp?v=1790788476</t>
  </si>
  <si>
    <t>7b8fbae7-a5a9-11ef-ab3b-22344d083d2c#ab887aca-a5a9-11ef-ab3b-22344d083d2c</t>
  </si>
  <si>
    <t>Пудра</t>
  </si>
  <si>
    <t>https://www.lavrpack.ru/local/templates/phoenix_v1/images_cache/thumbs/61fe4691c748aef554e17011163d0ab6.webp?v=1790788476</t>
  </si>
  <si>
    <t>890b6d51-a5aa-11ef-ab3b-22344d083d2c#b2fa19a2-a5aa-11ef-ab3b-22344d083d2c</t>
  </si>
  <si>
    <t>110513</t>
  </si>
  <si>
    <t>https://www.lavrpack.ru/local/templates/phoenix_v1/images_cache/thumbs/4780f71516821ddc63ff45a445b9d921.webp?v=1790788476</t>
  </si>
  <si>
    <t>ef5eedd5-a5a5-11ef-ab3b-22344d083d2c#28526a47-a5a6-11ef-ab3b-22344d083d2c</t>
  </si>
  <si>
    <t>110509</t>
  </si>
  <si>
    <t>Горшок "Орфей"</t>
  </si>
  <si>
    <t>(с вкладкой), Прозрачный</t>
  </si>
  <si>
    <t>2,3л</t>
  </si>
  <si>
    <t>https://www.lavrpack.ru/local/templates/phoenix_v1/images_cache/thumbs/f8142f31303fa46b8bd4a19ce75e3c18.webp?v=1790839573</t>
  </si>
  <si>
    <t>ef5eedd5-a5a5-11ef-ab3b-22344d083d2c#3672ad4a-a5a6-11ef-ab3b-22344d083d2c</t>
  </si>
  <si>
    <t>https://www.lavrpack.ru/local/templates/phoenix_v1/images_cache/thumbs/9d2a2f46500a45bf06d3411eb7486839.webp?v=1790839573</t>
  </si>
  <si>
    <t>ef5eedd5-a5a5-11ef-ab3b-22344d083d2c#42d413da-a5a6-11ef-ab3b-22344d083d2c</t>
  </si>
  <si>
    <t>https://www.lavrpack.ru/local/templates/phoenix_v1/images_cache/thumbs/05c899c215a99470f9d698715514bb01.webp?v=1790839573</t>
  </si>
  <si>
    <t>491b9829-5a69-11f1-ab50-22344d083d2c#56bf450b-5a69-11f1-ab50-22344d083d2c</t>
  </si>
  <si>
    <t>118538</t>
  </si>
  <si>
    <t>3,5л</t>
  </si>
  <si>
    <t>491b9829-5a69-11f1-ab50-22344d083d2c#ca3ab4ae-b7da-11f1-ab51-22344d083d2c</t>
  </si>
  <si>
    <t>491b9829-5a69-11f1-ab50-22344d083d2c#5cd027ca-5a69-11f1-ab50-22344d083d2c</t>
  </si>
  <si>
    <t>5bbe35b0-5a68-11f1-ab50-22344d083d2c#7c9b00e1-5a68-11f1-ab50-22344d083d2c</t>
  </si>
  <si>
    <t>118537</t>
  </si>
  <si>
    <t>6л</t>
  </si>
  <si>
    <t>5bbe35b0-5a68-11f1-ab50-22344d083d2c#68fa6de8-5a68-11f1-ab50-22344d083d2c</t>
  </si>
  <si>
    <t>3b62b145-a72e-11ef-ab3b-22344d083d2c#484e0a50-a72e-11ef-ab3b-22344d083d2c</t>
  </si>
  <si>
    <t>110563</t>
  </si>
  <si>
    <t>9л</t>
  </si>
  <si>
    <t>https://www.lavrpack.ru/local/templates/phoenix_v1/images_cache/thumbs/2ed9f176fbe316da36a204c6ee4ce153.webp?v=1790839573</t>
  </si>
  <si>
    <t>3b62b145-a72e-11ef-ab3b-22344d083d2c#ae85ab50-5a69-11f1-ab50-22344d083d2c</t>
  </si>
  <si>
    <t>3b62b145-a72e-11ef-ab3b-22344d083d2c#5ee998e9-a72e-11ef-ab3b-22344d083d2c</t>
  </si>
  <si>
    <t>https://www.lavrpack.ru/local/templates/phoenix_v1/images_cache/thumbs/d52b0e2f50a01d6a3795c4636c2eb4fd.webp?v=1790788476</t>
  </si>
  <si>
    <t>be65f8c6-6c21-11ef-ab51-1cfd08767542#cb4e70ae-6c21-11ef-ab51-1cfd08767542</t>
  </si>
  <si>
    <t>109377</t>
  </si>
  <si>
    <t>Горшок "Протея Эко"</t>
  </si>
  <si>
    <t>3,1л,</t>
  </si>
  <si>
    <t>https://www.lavrpack.ru/local/templates/phoenix_v1/images_cache/thumbs/c02234c0e1f02105aa51f8f22f667e7b.webp?v=1790788476</t>
  </si>
  <si>
    <t>be65f8c6-6c21-11ef-ab51-1cfd08767542#c4a8214c-6c21-11ef-ab51-1cfd08767542</t>
  </si>
  <si>
    <t>https://www.lavrpack.ru/local/templates/phoenix_v1/images_cache/thumbs/ada9c1d047764d459ec60227d77ff9e9.webp?v=1790788476</t>
  </si>
  <si>
    <t>be65f8c6-6c21-11ef-ab51-1cfd08767542#c4a82192-6c21-11ef-ab51-1cfd08767542</t>
  </si>
  <si>
    <t>https://www.lavrpack.ru/local/templates/phoenix_v1/images_cache/thumbs/7ced8036bdbf4af3eec7c4ca0f261619.webp?v=1790788476</t>
  </si>
  <si>
    <t>5d7f303e-6c22-11ef-ab51-1cfd08767542#75f1ac85-6c22-11ef-ab51-1cfd08767542</t>
  </si>
  <si>
    <t>109379</t>
  </si>
  <si>
    <t>5,1л,</t>
  </si>
  <si>
    <t>https://www.lavrpack.ru/local/templates/phoenix_v1/images_cache/thumbs/a8f40215e0510347bdeadfc9927e665c.webp?v=1790788476</t>
  </si>
  <si>
    <t>5d7f303e-6c22-11ef-ab51-1cfd08767542#6b2fefc7-6c22-11ef-ab51-1cfd08767542</t>
  </si>
  <si>
    <t>https://www.lavrpack.ru/local/templates/phoenix_v1/images_cache/thumbs/f614c8b1051c04276bf8b2a1cef18e3d.webp?v=1790788476</t>
  </si>
  <si>
    <t>5d7f303e-6c22-11ef-ab51-1cfd08767542#75f1ac95-6c22-11ef-ab51-1cfd08767542</t>
  </si>
  <si>
    <t>https://www.lavrpack.ru/local/templates/phoenix_v1/images_cache/thumbs/b0f85d95cea90befaed30275ab897591.webp?v=1790788476</t>
  </si>
  <si>
    <t>5d7f303e-6c22-11ef-ab51-1cfd08767542#649cb4af-6c22-11ef-ab51-1cfd08767542</t>
  </si>
  <si>
    <t>https://www.lavrpack.ru/local/templates/phoenix_v1/images_cache/thumbs/629c28891e527a0fbd935cbd3d94bd46.webp?v=1790788476</t>
  </si>
  <si>
    <t>2003ba25-1459-11f0-ab40-22344d083d2c#862d5b57-5a6a-11f1-ab50-22344d083d2c</t>
  </si>
  <si>
    <t>112103</t>
  </si>
  <si>
    <t>Горшок "Протея"</t>
  </si>
  <si>
    <t>https://www.lavrpack.ru/local/templates/phoenix_v1/images_cache/thumbs/b76a13b736bf2cce4e50cd428b86de15.webp?v=1790839573</t>
  </si>
  <si>
    <t>2003ba25-1459-11f0-ab40-22344d083d2c#36a9cf5e-1459-11f0-ab40-22344d083d2c</t>
  </si>
  <si>
    <t>2003ba25-1459-11f0-ab40-22344d083d2c#3fbe80b0-1459-11f0-ab40-22344d083d2c</t>
  </si>
  <si>
    <t>(с поддоном), Красный</t>
  </si>
  <si>
    <t>https://www.lavrpack.ru/local/templates/phoenix_v1/images_cache/thumbs/f87927970225db33e368bfe927cb941b.webp?v=1790828461</t>
  </si>
  <si>
    <t>2003ba25-1459-11f0-ab40-22344d083d2c#4ffae8ef-1459-11f0-ab40-22344d083d2c</t>
  </si>
  <si>
    <t>(с поддоном), Лавандовый</t>
  </si>
  <si>
    <t>https://www.lavrpack.ru/local/templates/phoenix_v1/images_cache/thumbs/0a2f3ee155f4c6c4835a008f3dd8c598.webp?v=1790828461</t>
  </si>
  <si>
    <t>2003ba25-1459-11f0-ab40-22344d083d2c#495af735-1459-11f0-ab40-22344d083d2c</t>
  </si>
  <si>
    <t>(с поддоном), Терракотовый</t>
  </si>
  <si>
    <t>https://www.lavrpack.ru/local/templates/phoenix_v1/images_cache/thumbs/9554ee1a2c31ddc15fc24ba0b66342d4.webp?v=1790788476</t>
  </si>
  <si>
    <t>2003ba25-1459-11f0-ab40-22344d083d2c#56a817a9-1459-11f0-ab40-22344d083d2c</t>
  </si>
  <si>
    <t>(с поддоном), Бирюзовый</t>
  </si>
  <si>
    <t>https://www.lavrpack.ru/local/templates/phoenix_v1/images_cache/thumbs/f56ef7732d4c46dcf12830c9da66b097.webp?v=1790828461</t>
  </si>
  <si>
    <t>c503d9b1-a63f-11ef-ab3b-22344d083d2c#f6ea441d-de23-11ef-ab3c-22344d083d2c</t>
  </si>
  <si>
    <t>110520</t>
  </si>
  <si>
    <t>https://www.lavrpack.ru/local/templates/phoenix_v1/images_cache/thumbs/1cb91fc55679f072d9a57fc3f2066694.webp?v=1790839573</t>
  </si>
  <si>
    <t>c503d9b1-a63f-11ef-ab3b-22344d083d2c#da50a351-a63f-11ef-ab3b-22344d083d2c</t>
  </si>
  <si>
    <t>Дымка</t>
  </si>
  <si>
    <t>https://www.lavrpack.ru/local/templates/phoenix_v1/images_cache/thumbs/8e585d6a12317dc2d7ce8b320348f003.webp?v=1790839573</t>
  </si>
  <si>
    <t>c503d9b1-a63f-11ef-ab3b-22344d083d2c#f08effae-a63f-11ef-ab3b-22344d083d2c</t>
  </si>
  <si>
    <t>Бирюза</t>
  </si>
  <si>
    <t>https://www.lavrpack.ru/local/templates/phoenix_v1/images_cache/thumbs/4db1e055cf3c0b3c58731db8732581d0.webp?v=1790828461</t>
  </si>
  <si>
    <t>c503d9b1-a63f-11ef-ab3b-22344d083d2c#c7563b28-de23-11ef-ab3c-22344d083d2c</t>
  </si>
  <si>
    <t>https://www.lavrpack.ru/local/templates/phoenix_v1/images_cache/thumbs/031c5b8ea237ac9f1048549e6d15bb06.webp?v=1790839573</t>
  </si>
  <si>
    <t>c503d9b1-a63f-11ef-ab3b-22344d083d2c#f7675bc4-a63f-11ef-ab3b-22344d083d2c</t>
  </si>
  <si>
    <t>https://www.lavrpack.ru/local/templates/phoenix_v1/images_cache/thumbs/00b134db8094f0fcd32e7347bf743941.webp?v=1790828461</t>
  </si>
  <si>
    <t>c503d9b1-a63f-11ef-ab3b-22344d083d2c#631c8f6e-de23-11ef-ab3c-22344d083d2c</t>
  </si>
  <si>
    <t>Бело-белый</t>
  </si>
  <si>
    <t>https://www.lavrpack.ru/local/templates/phoenix_v1/images_cache/thumbs/84d016a0de9149b30278c6ed274bb31f.webp?v=1790839573</t>
  </si>
  <si>
    <t>c503d9b1-a63f-11ef-ab3b-22344d083d2c#4ead77ae-de23-11ef-ab3c-22344d083d2c</t>
  </si>
  <si>
    <t>https://www.lavrpack.ru/local/templates/phoenix_v1/images_cache/thumbs/77af2572fb96b3d2add7d626e3740e40.webp?v=1790839573</t>
  </si>
  <si>
    <t>c503d9b1-a63f-11ef-ab3b-22344d083d2c#056f54ea-de24-11ef-ab3c-22344d083d2c</t>
  </si>
  <si>
    <t>https://www.lavrpack.ru/local/templates/phoenix_v1/images_cache/thumbs/f08452eec54b92aabc8fc46f52b313c5.webp?v=1790839573</t>
  </si>
  <si>
    <t>c503d9b1-a63f-11ef-ab3b-22344d083d2c#bf8ff485-3641-11f0-ab41-22344d083d2c</t>
  </si>
  <si>
    <t>https://www.lavrpack.ru/local/templates/phoenix_v1/images_cache/thumbs/96ec9e817ca56901ba23e65cb1c0c447.webp?v=1790839573</t>
  </si>
  <si>
    <t>c503d9b1-a63f-11ef-ab3b-22344d083d2c#d2e53ff2-a63f-11ef-ab3b-22344d083d2c</t>
  </si>
  <si>
    <t>Янтарный</t>
  </si>
  <si>
    <t>https://www.lavrpack.ru/local/templates/phoenix_v1/images_cache/thumbs/d877900174259c3f0e971816ae5b1514.webp?v=1790828461</t>
  </si>
  <si>
    <t>c503d9b1-a63f-11ef-ab3b-22344d083d2c#e74b7187-a63f-11ef-ab3b-22344d083d2c</t>
  </si>
  <si>
    <t>https://www.lavrpack.ru/local/templates/phoenix_v1/images_cache/thumbs/611574631e41ee8f333143a060787203.webp?v=1790788476</t>
  </si>
  <si>
    <t>d16f8c5f-de0a-11ef-ab3c-22344d083d2c#5a629031-de0b-11ef-ab3c-22344d083d2c</t>
  </si>
  <si>
    <t>111139</t>
  </si>
  <si>
    <t>https://www.lavrpack.ru/local/templates/phoenix_v1/images_cache/thumbs/9f3a28e448421a770034963eecbcf40a.webp?v=1790839573</t>
  </si>
  <si>
    <t>d16f8c5f-de0a-11ef-ab3c-22344d083d2c#02bb3698-de0b-11ef-ab3c-22344d083d2c</t>
  </si>
  <si>
    <t>Антрацит-белый</t>
  </si>
  <si>
    <t>https://www.lavrpack.ru/local/templates/phoenix_v1/images_cache/thumbs/a0ec145ffd27248fcae1b58bac2d4b29.webp?v=1790839573</t>
  </si>
  <si>
    <t>d16f8c5f-de0a-11ef-ab3c-22344d083d2c#68136744-de0b-11ef-ab3c-22344d083d2c</t>
  </si>
  <si>
    <t>https://www.lavrpack.ru/local/templates/phoenix_v1/images_cache/thumbs/19e1aceabb26c130cb1439288700c013.webp?v=1790839573</t>
  </si>
  <si>
    <t>d16f8c5f-de0a-11ef-ab3c-22344d083d2c#3bddf504-de0b-11ef-ab3c-22344d083d2c</t>
  </si>
  <si>
    <t>https://www.lavrpack.ru/local/templates/phoenix_v1/images_cache/thumbs/7f67f4cc79d1c7416d06a302297d9f33.webp?v=1790839573</t>
  </si>
  <si>
    <t>d16f8c5f-de0a-11ef-ab3c-22344d083d2c#ed588a6d-de0a-11ef-ab3c-22344d083d2c</t>
  </si>
  <si>
    <t>https://www.lavrpack.ru/local/templates/phoenix_v1/images_cache/thumbs/e4c434eda58963e11abd2f182f528852.webp?v=1790839573</t>
  </si>
  <si>
    <t>d16f8c5f-de0a-11ef-ab3c-22344d083d2c#dfe3602e-de0a-11ef-ab3c-22344d083d2c</t>
  </si>
  <si>
    <t>https://www.lavrpack.ru/local/templates/phoenix_v1/images_cache/thumbs/548a0a08ca8fdde8c7271f0b18b6f6eb.webp?v=1790839573</t>
  </si>
  <si>
    <t>cd1b9e82-de0c-11ef-ab3c-22344d083d2c#d97dcac1-de0c-11ef-ab3c-22344d083d2c</t>
  </si>
  <si>
    <t>111140</t>
  </si>
  <si>
    <t>https://www.lavrpack.ru/local/templates/phoenix_v1/images_cache/thumbs/e9b5dd94571e407a1ef535581e56db9d.webp?v=1790828461</t>
  </si>
  <si>
    <t>cd1b9e82-de0c-11ef-ab3c-22344d083d2c#0d31bcd0-de0d-11ef-ab3c-22344d083d2c</t>
  </si>
  <si>
    <t>https://www.lavrpack.ru/local/templates/phoenix_v1/images_cache/thumbs/1dc5e5ec69b7aea5ac7cbf3c101e3f4f.webp?v=1790788476</t>
  </si>
  <si>
    <t>cd1b9e82-de0c-11ef-ab3c-22344d083d2c#e8f75ee7-de0c-11ef-ab3c-22344d083d2c</t>
  </si>
  <si>
    <t>https://www.lavrpack.ru/local/templates/phoenix_v1/images_cache/thumbs/6ff15019f23007fe1b8e7b913e982f5b.webp?v=1790839573</t>
  </si>
  <si>
    <t>cd1b9e82-de0c-11ef-ab3c-22344d083d2c#e00100af-de0c-11ef-ab3c-22344d083d2c</t>
  </si>
  <si>
    <t>https://www.lavrpack.ru/local/templates/phoenix_v1/images_cache/thumbs/0cba436a14f3fd3fffd381ac54fd5d4b.webp?v=1790788476</t>
  </si>
  <si>
    <t>cd1b9e82-de0c-11ef-ab3c-22344d083d2c#06b919a4-de0d-11ef-ab3c-22344d083d2c</t>
  </si>
  <si>
    <t>https://www.lavrpack.ru/local/templates/phoenix_v1/images_cache/thumbs/65839e830c07907955792cac9eeb818e.webp?v=1790788476</t>
  </si>
  <si>
    <t>cd1b9e82-de0c-11ef-ab3c-22344d083d2c#1b9debc3-de0d-11ef-ab3c-22344d083d2c</t>
  </si>
  <si>
    <t>https://www.lavrpack.ru/local/templates/phoenix_v1/images_cache/thumbs/fc75383b3f015dffede5842d72ea7716.webp?v=1790788476</t>
  </si>
  <si>
    <t>ed1f2514-de0f-11ef-ab3c-22344d083d2c#1b43982c-de10-11ef-ab3c-22344d083d2c</t>
  </si>
  <si>
    <t>111143</t>
  </si>
  <si>
    <t>https://www.lavrpack.ru/local/templates/phoenix_v1/images_cache/thumbs/9120b3012906aef95be8a4346e9d631c.webp?v=1790788476</t>
  </si>
  <si>
    <t>ed1f2514-de0f-11ef-ab3c-22344d083d2c#00db6123-de10-11ef-ab3c-22344d083d2c</t>
  </si>
  <si>
    <t>https://www.lavrpack.ru/local/templates/phoenix_v1/images_cache/thumbs/4b62e1f60681dfa2d878bbbcc4b7f99d.webp?v=1790839573</t>
  </si>
  <si>
    <t>ed1f2514-de0f-11ef-ab3c-22344d083d2c#14627ab1-de10-11ef-ab3c-22344d083d2c</t>
  </si>
  <si>
    <t>Лавандовый</t>
  </si>
  <si>
    <t>https://www.lavrpack.ru/local/templates/phoenix_v1/images_cache/thumbs/4bcfbcdc79ae05301c0be050e913d900.webp?v=1790828461</t>
  </si>
  <si>
    <t>ed1f2514-de0f-11ef-ab3c-22344d083d2c#fa2b8897-de0f-11ef-ab3c-22344d083d2c</t>
  </si>
  <si>
    <t>https://www.lavrpack.ru/local/templates/phoenix_v1/images_cache/thumbs/f38d534a81563608b8cdec952f32c8eb.webp?v=1790839573</t>
  </si>
  <si>
    <t>ed1f2514-de0f-11ef-ab3c-22344d083d2c#d957a58c-284b-11f1-ab50-22344d083d2c</t>
  </si>
  <si>
    <t>https://www.lavrpack.ru/local/templates/phoenix_v1/images_cache/thumbs/55df79edbf1bd58b5a1c07ab410c047d.webp?v=1790788476</t>
  </si>
  <si>
    <t>ed1f2514-de0f-11ef-ab3c-22344d083d2c#06ed839d-de10-11ef-ab3c-22344d083d2c</t>
  </si>
  <si>
    <t>Мятный</t>
  </si>
  <si>
    <t>https://www.lavrpack.ru/local/templates/phoenix_v1/images_cache/thumbs/901b1048c6ea2735b1f17605dbc8e8dd.webp?v=1790788476</t>
  </si>
  <si>
    <t>ed1f2514-de0f-11ef-ab3c-22344d083d2c#2245f139-de10-11ef-ab3c-22344d083d2c</t>
  </si>
  <si>
    <t>https://www.lavrpack.ru/local/templates/phoenix_v1/images_cache/thumbs/1c3578dceaccc5752e42fc947e4797d7.webp?v=1790788476</t>
  </si>
  <si>
    <t>14c876e1-145c-11f0-ab40-22344d083d2c#d2978240-686d-11f0-ab47-22344d083d2c</t>
  </si>
  <si>
    <t>112106</t>
  </si>
  <si>
    <t>9 л,</t>
  </si>
  <si>
    <t>https://www.lavrpack.ru/local/templates/phoenix_v1/images_cache/thumbs/9968ba29e8508aefba55b0d262802dbe.webp?v=1790788476</t>
  </si>
  <si>
    <t>14c876e1-145c-11f0-ab40-22344d083d2c#23b5396e-284c-11f1-ab50-22344d083d2c</t>
  </si>
  <si>
    <t>https://www.lavrpack.ru/local/templates/phoenix_v1/images_cache/thumbs/b01450ccb23419a4bec80e17219ba992.webp?v=1790788476</t>
  </si>
  <si>
    <t>14c876e1-145c-11f0-ab40-22344d083d2c#27ee583d-145c-11f0-ab40-22344d083d2c</t>
  </si>
  <si>
    <t>https://www.lavrpack.ru/local/templates/phoenix_v1/images_cache/thumbs/d9becd0fd1b0656449ce4ffee85b810e.webp?v=1790788476</t>
  </si>
  <si>
    <t>14c876e1-145c-11f0-ab40-22344d083d2c#1b81edcd-145e-11f0-ab40-22344d083d2c</t>
  </si>
  <si>
    <t>https://www.lavrpack.ru/local/templates/phoenix_v1/images_cache/thumbs/4dd4874effb4a3f7f4b083736091335f.webp?v=1790839573</t>
  </si>
  <si>
    <t>aedc217c-145d-11f0-ab40-22344d083d2c#a9bf01b9-363d-11f0-ab41-22344d083d2c</t>
  </si>
  <si>
    <t>112107</t>
  </si>
  <si>
    <t>16,6 л,</t>
  </si>
  <si>
    <t>https://www.lavrpack.ru/local/templates/phoenix_v1/images_cache/thumbs/415ad38f4a4f2827c1684d00ec089fa7.webp?v=1790828461</t>
  </si>
  <si>
    <t>aedc217c-145d-11f0-ab40-22344d083d2c#b53736ce-145d-11f0-ab40-22344d083d2c</t>
  </si>
  <si>
    <t>https://www.lavrpack.ru/local/templates/phoenix_v1/images_cache/thumbs/7d77cc25d2dd921d41ebd9d49ee005af.webp?v=1790788476</t>
  </si>
  <si>
    <t>aedc217c-145d-11f0-ab40-22344d083d2c#d24ee688-145d-11f0-ab40-22344d083d2c</t>
  </si>
  <si>
    <t>https://www.lavrpack.ru/local/templates/phoenix_v1/images_cache/thumbs/3157d12cab4a9e8867b36460d21c8d9f.webp?v=1790788476</t>
  </si>
  <si>
    <t>aedc217c-145d-11f0-ab40-22344d083d2c#95c97fce-363d-11f0-ab41-22344d083d2c</t>
  </si>
  <si>
    <t>https://www.lavrpack.ru/local/templates/phoenix_v1/images_cache/thumbs/777940dbf2580f7f4b3e2ba1d918449c.webp?v=1790788476</t>
  </si>
  <si>
    <t>aedc217c-145d-11f0-ab40-22344d083d2c#f701e1aa-686d-11f0-ab47-22344d083d2c</t>
  </si>
  <si>
    <t>https://www.lavrpack.ru/local/templates/phoenix_v1/images_cache/thumbs/5e4230daa2f60abc8d0d56dc1f807c1a.webp?v=1790828461</t>
  </si>
  <si>
    <t>cb604fd0-144a-11f0-ab40-22344d083d2c#147a6775-144b-11f0-ab40-22344d083d2c</t>
  </si>
  <si>
    <t>112093</t>
  </si>
  <si>
    <t>Горшок "Сигма"</t>
  </si>
  <si>
    <t>3,3 л,</t>
  </si>
  <si>
    <t>https://www.lavrpack.ru/local/templates/phoenix_v1/images_cache/thumbs/6b50398bc63b64dc4acf33d58df75315.webp?v=1790828461</t>
  </si>
  <si>
    <t>cb604fd0-144a-11f0-ab40-22344d083d2c#05716eeb-144b-11f0-ab40-22344d083d2c</t>
  </si>
  <si>
    <t>https://www.lavrpack.ru/local/templates/phoenix_v1/images_cache/thumbs/c67d40bd2a469212f6e32c4e3d205dda.webp?v=1790839573</t>
  </si>
  <si>
    <t>cb604fd0-144a-11f0-ab40-22344d083d2c#f87e3696-144a-11f0-ab40-22344d083d2c</t>
  </si>
  <si>
    <t>https://www.lavrpack.ru/local/templates/phoenix_v1/images_cache/thumbs/e1bd0cac5086f61397098d45b43b2b8d.webp?v=1790828461</t>
  </si>
  <si>
    <t>cb604fd0-144a-11f0-ab40-22344d083d2c#f27ee6f8-144a-11f0-ab40-22344d083d2c</t>
  </si>
  <si>
    <t>Ваниль</t>
  </si>
  <si>
    <t>https://www.lavrpack.ru/local/templates/phoenix_v1/images_cache/thumbs/fb22549cceb6582ea422a40a524c0a44.webp?v=1790788476</t>
  </si>
  <si>
    <t>cb604fd0-144a-11f0-ab40-22344d083d2c#0e435546-144b-11f0-ab40-22344d083d2c</t>
  </si>
  <si>
    <t>https://www.lavrpack.ru/local/templates/phoenix_v1/images_cache/thumbs/6535787a070c1445ffb7fa038f1341c3.webp?v=1790788476</t>
  </si>
  <si>
    <t>cb604fd0-144a-11f0-ab40-22344d083d2c#e02c7385-144a-11f0-ab40-22344d083d2c</t>
  </si>
  <si>
    <t>https://www.lavrpack.ru/local/templates/phoenix_v1/images_cache/thumbs/fbd36f26c63c2a5421fef7395ff3d4cb.webp?v=1790828461</t>
  </si>
  <si>
    <t>cb604fd0-144a-11f0-ab40-22344d083d2c#e63acf67-144a-11f0-ab40-22344d083d2c</t>
  </si>
  <si>
    <t>https://www.lavrpack.ru/local/templates/phoenix_v1/images_cache/thumbs/6db8c37dd024c0b9b5f00679bd8f685e.webp?v=1790839573</t>
  </si>
  <si>
    <t>b7f863da-144b-11f0-ab40-22344d083d2c#cc32e2c6-144b-11f0-ab40-22344d083d2c</t>
  </si>
  <si>
    <t>112096</t>
  </si>
  <si>
    <t>4,5 л,</t>
  </si>
  <si>
    <t>https://www.lavrpack.ru/local/templates/phoenix_v1/images_cache/thumbs/d5afe9d5580b3acce67435138e619083.webp?v=1790788476</t>
  </si>
  <si>
    <t>b7f863da-144b-11f0-ab40-22344d083d2c#e645ee91-144b-11f0-ab40-22344d083d2c</t>
  </si>
  <si>
    <t>https://www.lavrpack.ru/local/templates/phoenix_v1/images_cache/thumbs/d2a1c76127308faa43c60f8c23001458.webp?v=1790839573</t>
  </si>
  <si>
    <t>b7f863da-144b-11f0-ab40-22344d083d2c#c5bac81d-144b-11f0-ab40-22344d083d2c</t>
  </si>
  <si>
    <t>https://www.lavrpack.ru/local/templates/phoenix_v1/images_cache/thumbs/03ebc5df0e1d4aabf23bf54159aa02b7.webp?v=1790839573</t>
  </si>
  <si>
    <t>b7f863da-144b-11f0-ab40-22344d083d2c#f31a56b3-144b-11f0-ab40-22344d083d2c</t>
  </si>
  <si>
    <t>https://www.lavrpack.ru/local/templates/phoenix_v1/images_cache/thumbs/100a11bb6ba6879e66a0716b0eb79a3d.webp?v=1790788476</t>
  </si>
  <si>
    <t>b7f863da-144b-11f0-ab40-22344d083d2c#f93d7610-144b-11f0-ab40-22344d083d2c</t>
  </si>
  <si>
    <t>https://www.lavrpack.ru/local/templates/phoenix_v1/images_cache/thumbs/5ff330fb5ae06a0992d22fdf246d62cb.webp?v=1790839573</t>
  </si>
  <si>
    <t>b7f863da-144b-11f0-ab40-22344d083d2c#ed1122d6-144b-11f0-ab40-22344d083d2c</t>
  </si>
  <si>
    <t>https://www.lavrpack.ru/local/templates/phoenix_v1/images_cache/thumbs/e9e2ddd0851b394f3ca42184ad24aad6.webp?v=1790839573</t>
  </si>
  <si>
    <t>b7f863da-144b-11f0-ab40-22344d083d2c#d238e1b3-144b-11f0-ab40-22344d083d2c</t>
  </si>
  <si>
    <t>https://www.lavrpack.ru/local/templates/phoenix_v1/images_cache/thumbs/3c2ccc9cc187e582bbecb196d66d6432.webp?v=1790788476</t>
  </si>
  <si>
    <t>c538a3f9-6c15-11ef-ab51-1cfd08767542#cbed3e29-6c15-11ef-ab51-1cfd08767542</t>
  </si>
  <si>
    <t>109359</t>
  </si>
  <si>
    <t>Горшок "СИГМА"</t>
  </si>
  <si>
    <t>10,2л,</t>
  </si>
  <si>
    <t>c538a3f9-6c15-11ef-ab51-1cfd08767542#ecf120e1-6c15-11ef-ab51-1cfd08767542</t>
  </si>
  <si>
    <t>https://www.lavrpack.ru/local/templates/phoenix_v1/images_cache/thumbs/e766714568d43fc8354763388119188f.webp?v=1790839573</t>
  </si>
  <si>
    <t>c538a3f9-6c15-11ef-ab51-1cfd08767542#d970abf3-6c15-11ef-ab51-1cfd08767542</t>
  </si>
  <si>
    <t>https://www.lavrpack.ru/local/templates/phoenix_v1/images_cache/thumbs/ecfc9eb9649af79c7e15715e30bbdcc3.webp?v=1790839573</t>
  </si>
  <si>
    <t>c538a3f9-6c15-11ef-ab51-1cfd08767542#e003e648-6c15-11ef-ab51-1cfd08767542</t>
  </si>
  <si>
    <t>https://www.lavrpack.ru/local/templates/phoenix_v1/images_cache/thumbs/22342aa87f2180363309ac4a71e2518a.webp?v=1790788476</t>
  </si>
  <si>
    <t>c538a3f9-6c15-11ef-ab51-1cfd08767542#c538a42d-6c15-11ef-ab51-1cfd08767542</t>
  </si>
  <si>
    <t>https://www.lavrpack.ru/local/templates/phoenix_v1/images_cache/thumbs/1e977d452609f71e0c269da6c0aba2f9.webp?v=1790788476</t>
  </si>
  <si>
    <t>c538a3f9-6c15-11ef-ab51-1cfd08767542#d29d13c2-6c15-11ef-ab51-1cfd08767542</t>
  </si>
  <si>
    <t>https://www.lavrpack.ru/local/templates/phoenix_v1/images_cache/thumbs/8548b1bd023c236edd381fd315ecbf69.webp?v=1790788476</t>
  </si>
  <si>
    <t>d5f34722-6c16-11ef-ab51-1cfd08767542#f8213c44-6c16-11ef-ab51-1cfd08767542</t>
  </si>
  <si>
    <t>109360</t>
  </si>
  <si>
    <t>18л,</t>
  </si>
  <si>
    <t>https://www.lavrpack.ru/local/templates/phoenix_v1/images_cache/thumbs/a00fa11d62be53149014d068df15e023.webp?v=1790788476</t>
  </si>
  <si>
    <t>d5f34722-6c16-11ef-ab51-1cfd08767542#f0b9cfb5-6c16-11ef-ab51-1cfd08767542</t>
  </si>
  <si>
    <t>https://www.lavrpack.ru/local/templates/phoenix_v1/images_cache/thumbs/e0b04638ce06dc530e2b2140de47ea72.webp?v=1790788476</t>
  </si>
  <si>
    <t>d5f34722-6c16-11ef-ab51-1cfd08767542#f0b9cea8-6c16-11ef-ab51-1cfd08767542</t>
  </si>
  <si>
    <t>https://www.lavrpack.ru/local/templates/phoenix_v1/images_cache/thumbs/e45a46eeec0a80e56a028dda7f8b202f.webp?v=1790839573</t>
  </si>
  <si>
    <t>d5f34722-6c16-11ef-ab51-1cfd08767542#ea72de82-6c16-11ef-ab51-1cfd08767542</t>
  </si>
  <si>
    <t>https://www.lavrpack.ru/local/templates/phoenix_v1/images_cache/thumbs/0e5fc6f400995d1d3397d149df9f33f6.webp?v=1790788476</t>
  </si>
  <si>
    <t>d5f34722-6c16-11ef-ab51-1cfd08767542#e2eed522-6c16-11ef-ab51-1cfd08767542</t>
  </si>
  <si>
    <t>https://www.lavrpack.ru/local/templates/phoenix_v1/images_cache/thumbs/59eae33778f563f8251cf2f8e1fde284.webp?v=1790828461</t>
  </si>
  <si>
    <t>d5f34722-6c16-11ef-ab51-1cfd08767542#dcb16db1-6c16-11ef-ab51-1cfd08767542</t>
  </si>
  <si>
    <t>https://www.lavrpack.ru/local/templates/phoenix_v1/images_cache/thumbs/010fcd8f75b9b148f7020b66b75b2186.webp?v=1790788476</t>
  </si>
  <si>
    <t>d5f34722-6c16-11ef-ab51-1cfd08767542#d79c5eb7-1435-11f0-ab40-22344d083d2c</t>
  </si>
  <si>
    <t>https://www.lavrpack.ru/local/templates/phoenix_v1/images_cache/thumbs/a222f14c726fa2c236da09f2f7b37a9d.webp?v=1790828461</t>
  </si>
  <si>
    <t>0ae20b56-a813-11f0-ab48-22344d083d2c#d6c295a8-a815-11f0-ab48-22344d083d2c</t>
  </si>
  <si>
    <t>115340</t>
  </si>
  <si>
    <t>(вкладка 17 л.), антрацит</t>
  </si>
  <si>
    <t>27,3 л</t>
  </si>
  <si>
    <t>https://www.lavrpack.ru/local/templates/phoenix_v1/images_cache/thumbs/4bad8485a58b923f84c1f5e4914e0412.webp?v=1790828461</t>
  </si>
  <si>
    <t>0ae20b56-a813-11f0-ab48-22344d083d2c#eb0f0003-a815-11f0-ab48-22344d083d2c</t>
  </si>
  <si>
    <t>(вкладка 17 л.), медовый</t>
  </si>
  <si>
    <t>https://www.lavrpack.ru/local/templates/phoenix_v1/images_cache/thumbs/30f5cae4a6b59508dfb495b17c03387c.webp?v=1790828461</t>
  </si>
  <si>
    <t>0ae20b56-a813-11f0-ab48-22344d083d2c#e33d01c1-a815-11f0-ab48-22344d083d2c</t>
  </si>
  <si>
    <t>(вкладка 17 л.), нефрит</t>
  </si>
  <si>
    <t>https://www.lavrpack.ru/local/templates/phoenix_v1/images_cache/thumbs/4cb9797edca2317e78f7e7f709630c4d.webp?v=1790839573</t>
  </si>
  <si>
    <t>0ae20b56-a813-11f0-ab48-22344d083d2c#f2a92780-a815-11f0-ab48-22344d083d2c</t>
  </si>
  <si>
    <t>(вкладка 17 л.), фраппе</t>
  </si>
  <si>
    <t>https://www.lavrpack.ru/local/templates/phoenix_v1/images_cache/thumbs/e172d08dd023c929aaa3c505794ef395.webp?v=1790839573</t>
  </si>
  <si>
    <t>0ae20b56-a813-11f0-ab48-22344d083d2c#18ddb3b8-a813-11f0-ab48-22344d083d2c</t>
  </si>
  <si>
    <t>(вкладка 17 л.), белый</t>
  </si>
  <si>
    <t>https://www.lavrpack.ru/local/templates/phoenix_v1/images_cache/thumbs/8cf950c139665d605aef12b3c48bb722.webp?v=1790828461</t>
  </si>
  <si>
    <t>1c73b462-a730-11ef-ab3b-22344d083d2c#2cbdbe70-a730-11ef-ab3b-22344d083d2c</t>
  </si>
  <si>
    <t>110565</t>
  </si>
  <si>
    <t>Горшок "Сильвия"</t>
  </si>
  <si>
    <t>Дымчатый</t>
  </si>
  <si>
    <t>1,8л,</t>
  </si>
  <si>
    <t>https://www.lavrpack.ru/local/templates/phoenix_v1/images_cache/thumbs/cfb4cbd7b4bf15104a66ea8937e2aa9a.webp?v=1790788476</t>
  </si>
  <si>
    <t>1c73b462-a730-11ef-ab3b-22344d083d2c#33d79120-a730-11ef-ab3b-22344d083d2c</t>
  </si>
  <si>
    <t>https://www.lavrpack.ru/local/templates/phoenix_v1/images_cache/thumbs/b4669225814fe99a85363d97f227c41d.webp?v=1790828461</t>
  </si>
  <si>
    <t>1c73b462-a730-11ef-ab3b-22344d083d2c#493f12bf-a730-11ef-ab3b-22344d083d2c</t>
  </si>
  <si>
    <t>https://www.lavrpack.ru/local/templates/phoenix_v1/images_cache/thumbs/74d6129783ca4433ed6a93ccf8cd66ae.webp?v=1790828461</t>
  </si>
  <si>
    <t>1c73b462-a730-11ef-ab3b-22344d083d2c#42307cca-a730-11ef-ab3b-22344d083d2c</t>
  </si>
  <si>
    <t>https://www.lavrpack.ru/local/templates/phoenix_v1/images_cache/thumbs/4340003d202ce2eb6753bcde18135ca7.webp?v=1790828461</t>
  </si>
  <si>
    <t>1c73b462-a730-11ef-ab3b-22344d083d2c#26726100-a730-11ef-ab3b-22344d083d2c</t>
  </si>
  <si>
    <t>Натуральный</t>
  </si>
  <si>
    <t>https://www.lavrpack.ru/local/templates/phoenix_v1/images_cache/thumbs/a7ca4e99b5c13fb6758d2c37a9232507.webp?v=1790828461</t>
  </si>
  <si>
    <t>1c73b462-a730-11ef-ab3b-22344d083d2c#39f59c2e-a730-11ef-ab3b-22344d083d2c</t>
  </si>
  <si>
    <t>Фиолетовый</t>
  </si>
  <si>
    <t>https://www.lavrpack.ru/local/templates/phoenix_v1/images_cache/thumbs/8ed9745461e7b8ec83c6e47734559f8d.webp?v=1790828461</t>
  </si>
  <si>
    <t>41bfa19b-a667-11ef-ab3b-22344d083d2c#58ff2c2a-a667-11ef-ab3b-22344d083d2c</t>
  </si>
  <si>
    <t>110525</t>
  </si>
  <si>
    <t>Горшок "Сириус"</t>
  </si>
  <si>
    <t>16,5л,</t>
  </si>
  <si>
    <t>https://www.lavrpack.ru/local/templates/phoenix_v1/images_cache/thumbs/86ce9f8d218720d71dd3af2488607269.webp?v=1790788476</t>
  </si>
  <si>
    <t>41bfa19b-a667-11ef-ab3b-22344d083d2c#51f525b6-a667-11ef-ab3b-22344d083d2c</t>
  </si>
  <si>
    <t>https://www.lavrpack.ru/local/templates/phoenix_v1/images_cache/thumbs/956760bd4d264b56cd89249c2b1bf082.webp?v=1790839573</t>
  </si>
  <si>
    <t>41bfa19b-a667-11ef-ab3b-22344d083d2c#656e572b-a667-11ef-ab3b-22344d083d2c</t>
  </si>
  <si>
    <t>https://www.lavrpack.ru/local/templates/phoenix_v1/images_cache/thumbs/b0fbaf6af6f6fb6257a4ed8ad908a687.webp?v=1790828461</t>
  </si>
  <si>
    <t>41bfa19b-a667-11ef-ab3b-22344d083d2c#5ef9c131-a667-11ef-ab3b-22344d083d2c</t>
  </si>
  <si>
    <t>https://www.lavrpack.ru/local/templates/phoenix_v1/images_cache/thumbs/2ad1ea762ef24782bcde3181a51e04bf.webp?v=1790828461</t>
  </si>
  <si>
    <t>41bfa19b-a667-11ef-ab3b-22344d083d2c#71aa6f80-a667-11ef-ab3b-22344d083d2c</t>
  </si>
  <si>
    <t>https://www.lavrpack.ru/local/templates/phoenix_v1/images_cache/thumbs/b16ec75c563357b8797dd90b19d4565a.webp?v=1790828461</t>
  </si>
  <si>
    <t>41bfa19b-a667-11ef-ab3b-22344d083d2c#783bae78-a667-11ef-ab3b-22344d083d2c</t>
  </si>
  <si>
    <t>https://www.lavrpack.ru/local/templates/phoenix_v1/images_cache/thumbs/9a81b8c16abf0b855c3e243a6c0d175a.webp?v=1790828461</t>
  </si>
  <si>
    <t>9d8be293-de19-11ef-ab3c-22344d083d2c#b767b370-de19-11ef-ab3c-22344d083d2c</t>
  </si>
  <si>
    <t>111154</t>
  </si>
  <si>
    <t>Горшок "Сити"</t>
  </si>
  <si>
    <t>https://www.lavrpack.ru/local/templates/phoenix_v1/images_cache/thumbs/4ef999c28b7ea66e407aea2e3eb96bfa.webp?v=1790788476</t>
  </si>
  <si>
    <t>ffdb6c1f-a72e-11ef-ab3b-22344d083d2c#1e586b46-a72f-11ef-ab3b-22344d083d2c</t>
  </si>
  <si>
    <t>110564</t>
  </si>
  <si>
    <t>Горшок "Тиса"</t>
  </si>
  <si>
    <t>https://www.lavrpack.ru/local/templates/phoenix_v1/images_cache/thumbs/e5ebf40d372f6d0b63d1c3d1b30b9583.webp?v=1790839573</t>
  </si>
  <si>
    <t>ffdb6c1f-a72e-11ef-ab3b-22344d083d2c#0da84b50-a72f-11ef-ab3b-22344d083d2c</t>
  </si>
  <si>
    <t>https://www.lavrpack.ru/local/templates/phoenix_v1/images_cache/thumbs/94a19ebcfdfb0b2a1c9c16c08fd4971e.webp?v=1790828461</t>
  </si>
  <si>
    <t>09594871-a81c-11f0-ab48-22344d083d2c#3ee7a3a1-a81c-11f0-ab48-22344d083d2c</t>
  </si>
  <si>
    <t>115348</t>
  </si>
  <si>
    <t>Горшок "Торин"</t>
  </si>
  <si>
    <t>(с поддоном), терракот</t>
  </si>
  <si>
    <t>9,5л</t>
  </si>
  <si>
    <t>https://www.lavrpack.ru/local/templates/phoenix_v1/images_cache/thumbs/3d83d22f341da74e88a5cc535eeb5b57.webp?v=1790828461</t>
  </si>
  <si>
    <t>be617228-6c17-11ef-ab51-1cfd08767542#671d980d-1436-11f0-ab40-22344d083d2c</t>
  </si>
  <si>
    <t>109362</t>
  </si>
  <si>
    <t>Горшок "Фита"</t>
  </si>
  <si>
    <t>1,45л,</t>
  </si>
  <si>
    <t>https://www.lavrpack.ru/local/templates/phoenix_v1/images_cache/thumbs/ae7faa746755805649c852b1eba1c636.webp?v=1790828461</t>
  </si>
  <si>
    <t>be617228-6c17-11ef-ab51-1cfd08767542#eda2cc61-6c17-11ef-ab51-1cfd08767542</t>
  </si>
  <si>
    <t>https://www.lavrpack.ru/local/templates/phoenix_v1/images_cache/thumbs/fc9c13d534a02f3416d9526f74271e55.webp?v=1790828461</t>
  </si>
  <si>
    <t>be617228-6c17-11ef-ab51-1cfd08767542#0decc324-6c18-11ef-ab51-1cfd08767542</t>
  </si>
  <si>
    <t>https://www.lavrpack.ru/local/templates/phoenix_v1/images_cache/thumbs/68d3fe3252ee2c340341e57853cd7151.webp?v=1790788476</t>
  </si>
  <si>
    <t>be617228-6c17-11ef-ab51-1cfd08767542#c521fac8-6c17-11ef-ab51-1cfd08767542</t>
  </si>
  <si>
    <t>https://www.lavrpack.ru/local/templates/phoenix_v1/images_cache/thumbs/c0093d80306d5baf9eefec17596626e8.webp?v=1790828461</t>
  </si>
  <si>
    <t>be617228-6c17-11ef-ab51-1cfd08767542#e0968e02-6c17-11ef-ab51-1cfd08767542</t>
  </si>
  <si>
    <t>https://www.lavrpack.ru/local/templates/phoenix_v1/images_cache/thumbs/4de90f1fb6a2df9443ef112a021b0000.webp?v=1790828461</t>
  </si>
  <si>
    <t>be617228-6c17-11ef-ab51-1cfd08767542#1b0023f1-6c18-11ef-ab51-1cfd08767542</t>
  </si>
  <si>
    <t>https://www.lavrpack.ru/local/templates/phoenix_v1/images_cache/thumbs/4ab2fce81b0c026bc11b4929a9b779a5.webp?v=1790839573</t>
  </si>
  <si>
    <t>be617228-6c17-11ef-ab51-1cfd08767542#e0968e5d-6c17-11ef-ab51-1cfd08767542</t>
  </si>
  <si>
    <t>https://www.lavrpack.ru/local/templates/phoenix_v1/images_cache/thumbs/90be0687f15932167d41ec615c4bce9c.webp?v=1790828461</t>
  </si>
  <si>
    <t>262b3556-6c19-11ef-ab51-1cfd08767542#4ccccdf0-6c19-11ef-ab51-1cfd08767542</t>
  </si>
  <si>
    <t>109363</t>
  </si>
  <si>
    <t>Горшок "ФИТА"</t>
  </si>
  <si>
    <t>4,3л,</t>
  </si>
  <si>
    <t>https://www.lavrpack.ru/local/templates/phoenix_v1/images_cache/thumbs/cd01f346212344fd37276c532b4040f9.webp?v=1790828461</t>
  </si>
  <si>
    <t>262b3556-6c19-11ef-ab51-1cfd08767542#32ce8a9a-6c19-11ef-ab51-1cfd08767542</t>
  </si>
  <si>
    <t>https://www.lavrpack.ru/local/templates/phoenix_v1/images_cache/thumbs/8630d00694c4e652e7a717b5dc64e2c0.webp?v=1790828461</t>
  </si>
  <si>
    <t>262b3556-6c19-11ef-ab51-1cfd08767542#2c9aad65-6c19-11ef-ab51-1cfd08767542</t>
  </si>
  <si>
    <t>https://www.lavrpack.ru/local/templates/phoenix_v1/images_cache/thumbs/47b15b19044b44eea226e0225176bcae.webp?v=1790839573</t>
  </si>
  <si>
    <t>262b3556-6c19-11ef-ab51-1cfd08767542#550ace51-6c19-11ef-ab51-1cfd08767542</t>
  </si>
  <si>
    <t>https://www.lavrpack.ru/local/templates/phoenix_v1/images_cache/thumbs/20be3bb63b5f1cf0205417ad0573cbef.webp?v=1790839573</t>
  </si>
  <si>
    <t>262b3556-6c19-11ef-ab51-1cfd08767542#dd34fedc-1436-11f0-ab40-22344d083d2c</t>
  </si>
  <si>
    <t>https://www.lavrpack.ru/local/templates/phoenix_v1/images_cache/thumbs/416d8b8ab2bcf985287d1b90310f5dcc.webp?v=1790828461</t>
  </si>
  <si>
    <t>262b3556-6c19-11ef-ab51-1cfd08767542#3f52e3a1-6c19-11ef-ab51-1cfd08767542</t>
  </si>
  <si>
    <t>https://www.lavrpack.ru/local/templates/phoenix_v1/images_cache/thumbs/375adc4bfff1464112ea0f246cb36b66.webp?v=1790839573</t>
  </si>
  <si>
    <t>262b3556-6c19-11ef-ab51-1cfd08767542#2c9aad76-6c19-11ef-ab51-1cfd08767542</t>
  </si>
  <si>
    <t>https://www.lavrpack.ru/local/templates/phoenix_v1/images_cache/thumbs/a4ebff3798c799c3a5918327f0d83021.webp?v=1790828461</t>
  </si>
  <si>
    <t>262b3556-6c19-11ef-ab51-1cfd08767542#4ccccde0-6c19-11ef-ab51-1cfd08767542</t>
  </si>
  <si>
    <t>https://www.lavrpack.ru/local/templates/phoenix_v1/images_cache/thumbs/0656b986786408999b2c571144df669e.webp?v=1790828461</t>
  </si>
  <si>
    <t>25589da0-de1f-11ef-ab3c-22344d083d2c#75ca28dd-de1f-11ef-ab3c-22344d083d2c</t>
  </si>
  <si>
    <t>111161</t>
  </si>
  <si>
    <t>Горшок "Цилиндр Эко"</t>
  </si>
  <si>
    <t>https://www.lavrpack.ru/local/templates/phoenix_v1/images_cache/thumbs/7910bfa1375879f48516e211448004ee.webp?v=1790828461</t>
  </si>
  <si>
    <t>25589da0-de1f-11ef-ab3c-22344d083d2c#681bdb86-de1f-11ef-ab3c-22344d083d2c</t>
  </si>
  <si>
    <t>https://www.lavrpack.ru/local/templates/phoenix_v1/images_cache/thumbs/c3779f5d13fca39f414b3bdf1b20b40e.webp?v=1790828461</t>
  </si>
  <si>
    <t>6e3a8374-de20-11ef-ab3c-22344d083d2c#8b2149be-de20-11ef-ab3c-22344d083d2c</t>
  </si>
  <si>
    <t>111164</t>
  </si>
  <si>
    <t>https://www.lavrpack.ru/local/templates/phoenix_v1/images_cache/thumbs/b8154ba23101e5e78b85ec6688dcb09c.webp?v=1790828461</t>
  </si>
  <si>
    <t>6e3a8374-de20-11ef-ab3c-22344d083d2c#82df3eca-de20-11ef-ab3c-22344d083d2c</t>
  </si>
  <si>
    <t>https://www.lavrpack.ru/local/templates/phoenix_v1/images_cache/thumbs/0c628d2255880134047c845276891f7a.webp?v=1790828461</t>
  </si>
  <si>
    <t>b68e05a3-a640-11ef-ab3b-22344d083d2c#5c084863-a641-11ef-ab3b-22344d083d2c</t>
  </si>
  <si>
    <t>110521</t>
  </si>
  <si>
    <t>Горшок "Эльба"</t>
  </si>
  <si>
    <t>Зеленый прозрачный</t>
  </si>
  <si>
    <t>https://www.lavrpack.ru/local/templates/phoenix_v1/images_cache/thumbs/1ab7349ed08b1e68a2584f8cd37b6126.webp?v=1790828461</t>
  </si>
  <si>
    <t>b68e05a3-a640-11ef-ab3b-22344d083d2c#3f90c85d-a641-11ef-ab3b-22344d083d2c</t>
  </si>
  <si>
    <t>Дымка прозрачная</t>
  </si>
  <si>
    <t>https://www.lavrpack.ru/local/templates/phoenix_v1/images_cache/thumbs/4b090199f9ce1d19b9a4b5cc6e46061b.webp?v=1790839573</t>
  </si>
  <si>
    <t>b68e05a3-a640-11ef-ab3b-22344d083d2c#0d1b06a2-a641-11ef-ab3b-22344d083d2c</t>
  </si>
  <si>
    <t>https://www.lavrpack.ru/local/templates/phoenix_v1/images_cache/thumbs/4c52be67accd3ef3e3b21c123f9dc70c.webp?v=1790828461</t>
  </si>
  <si>
    <t>c34cd607-18d0-11ef-b78f-00e01a6800eb#da59c94e-18d0-11ef-b78f-00e01a6800eb</t>
  </si>
  <si>
    <t>107784</t>
  </si>
  <si>
    <t>Горшок с поддоном "Плетение"</t>
  </si>
  <si>
    <t>25л,</t>
  </si>
  <si>
    <t>https://www.lavrpack.ru/local/templates/phoenix_v1/images_cache/thumbs/2842bbba544c3ea70a1a199c69582aff.webp?v=1790832077</t>
  </si>
  <si>
    <t>c34cd607-18d0-11ef-b78f-00e01a6800eb#cad02de4-18d0-11ef-b78f-00e01a6800eb</t>
  </si>
  <si>
    <t>https://www.lavrpack.ru/local/templates/phoenix_v1/images_cache/thumbs/ee3bb228e96ce8459dcf1707f31bcb0f.webp?v=1790788476</t>
  </si>
  <si>
    <t>71e785e0-18d1-11ef-b78f-00e01a6800eb#78fd5e80-18d1-11ef-b78f-00e01a6800eb</t>
  </si>
  <si>
    <t>107785</t>
  </si>
  <si>
    <t>42л,</t>
  </si>
  <si>
    <t>https://www.lavrpack.ru/local/templates/phoenix_v1/images_cache/thumbs/bd756c6d81809285b81305ca9c5d06e2.webp?v=1790788476</t>
  </si>
  <si>
    <t>71e785e0-18d1-11ef-b78f-00e01a6800eb#71e78614-18d1-11ef-b78f-00e01a6800eb</t>
  </si>
  <si>
    <t>https://www.lavrpack.ru/local/templates/phoenix_v1/images_cache/thumbs/ec30f3450da25f4a2c40529d4b23a9e3.webp?v=1790832077</t>
  </si>
  <si>
    <t>681473b5-7696-11f0-ab47-22344d083d2c#74d791e6-7696-11f0-ab47-22344d083d2c</t>
  </si>
  <si>
    <t>114073</t>
  </si>
  <si>
    <t>Горшок Финезия джут д.30,5 н.62, антрацит</t>
  </si>
  <si>
    <t>https://www.lavrpack.ru/local/templates/phoenix_v1/images_cache/thumbs/e9cbff563c0db123a014229c104385e6.webp?v=1790839573</t>
  </si>
  <si>
    <t>681473b5-7696-11f0-ab47-22344d083d2c#6e7614a9-7696-11f0-ab47-22344d083d2c</t>
  </si>
  <si>
    <t>Горшок Финезия джут д.30,5 н.62, белый</t>
  </si>
  <si>
    <t>https://www.lavrpack.ru/local/templates/phoenix_v1/images_cache/thumbs/b9bfbf9a30cd5c220d2084f994367817.webp?v=1790828461</t>
  </si>
  <si>
    <t>681473b5-7696-11f0-ab47-22344d083d2c#80d66d52-7696-11f0-ab47-22344d083d2c</t>
  </si>
  <si>
    <t>Горшок Финезия джут д.30,5 н.62, ванильный</t>
  </si>
  <si>
    <t>https://www.lavrpack.ru/local/templates/phoenix_v1/images_cache/thumbs/ee94e9da251bb9a9ba468bfd55f6a1e8.webp?v=1790828461</t>
  </si>
  <si>
    <t>681473b5-7696-11f0-ab47-22344d083d2c#87848f8a-7696-11f0-ab47-22344d083d2c</t>
  </si>
  <si>
    <t>Горшок Финезия джут д.30,5 н.62, нефрит</t>
  </si>
  <si>
    <t>https://www.lavrpack.ru/local/templates/phoenix_v1/images_cache/thumbs/5caeafbc9897beb62e274aa58ce79e2b.webp?v=1790788476</t>
  </si>
  <si>
    <t>681473b5-7696-11f0-ab47-22344d083d2c#943a72c6-7696-11f0-ab47-22344d083d2c</t>
  </si>
  <si>
    <t>Горшок Финезия джут д.30,5 н.62, фраппе</t>
  </si>
  <si>
    <t>https://www.lavrpack.ru/local/templates/phoenix_v1/images_cache/thumbs/99de8663b9ca1497f1168bd8f4ce192f.webp?v=1790828461</t>
  </si>
  <si>
    <t>681473b5-7696-11f0-ab47-22344d083d2c#8dadb66e-7696-11f0-ab47-22344d083d2c</t>
  </si>
  <si>
    <t>Горшок Финезия джут д.30,5 н.62, черный</t>
  </si>
  <si>
    <t>https://www.lavrpack.ru/local/templates/phoenix_v1/images_cache/thumbs/492a222527a291e8dfb25b605481f186.webp?v=1790828461</t>
  </si>
  <si>
    <t>9195dfb9-7f2e-11ec-b73f-0018e40a3af2</t>
  </si>
  <si>
    <t>50527</t>
  </si>
  <si>
    <t>Икебана</t>
  </si>
  <si>
    <t>Польша</t>
  </si>
  <si>
    <t>"Mori" (пластик) D12×H10.7см</t>
  </si>
  <si>
    <t>https://www.lavrpack.ru/local/templates/phoenix_v1/images_cache/thumbs/18a2816efaac10494073ad69ce76343c.webp?v=1790788476</t>
  </si>
  <si>
    <t>314214ca-7f2f-11ec-b73f-0018e40a3af2</t>
  </si>
  <si>
    <t>68526</t>
  </si>
  <si>
    <t>круг D10см. зеленый</t>
  </si>
  <si>
    <t>https://www.lavrpack.ru/local/templates/phoenix_v1/images_cache/thumbs/7236ac761900194172ae5db3bb9c5d43.webp?v=1790788476</t>
  </si>
  <si>
    <t>498fa9f3-093d-11f0-ab3f-22344d083d2c</t>
  </si>
  <si>
    <t>111728</t>
  </si>
  <si>
    <t>Кашпо</t>
  </si>
  <si>
    <t>антрацит (КШ-9124)</t>
  </si>
  <si>
    <t>"Топаз" D21,8×H15см. 2,5л</t>
  </si>
  <si>
    <t>https://www.lavrpack.ru/local/templates/phoenix_v1/images_cache/thumbs/0e6dee1b23c233908c63c8c67fd9962a.webp?v=1790828461</t>
  </si>
  <si>
    <t>4f1aa30f-093e-11f0-ab3f-22344d083d2c</t>
  </si>
  <si>
    <t>111730</t>
  </si>
  <si>
    <t>мокачино (КШ-9801)</t>
  </si>
  <si>
    <t>https://www.lavrpack.ru/local/templates/phoenix_v1/images_cache/thumbs/aec2dea4ae234effb482aecfc65503a5.webp?v=1790828461</t>
  </si>
  <si>
    <t>ff39148f-7f2d-11ec-b73f-0018e40a3af2</t>
  </si>
  <si>
    <t>68457</t>
  </si>
  <si>
    <t>пудровый (КШ-9128)</t>
  </si>
  <si>
    <t>https://www.lavrpack.ru/local/templates/phoenix_v1/images_cache/thumbs/dd6a5d5fea041d7348e7bce59ec601b7.webp?v=1790828461</t>
  </si>
  <si>
    <t>b63def3c-093e-11f0-ab3f-22344d083d2c</t>
  </si>
  <si>
    <t>111731</t>
  </si>
  <si>
    <t>серый жемчуг (КШ-9799)</t>
  </si>
  <si>
    <t>https://www.lavrpack.ru/local/templates/phoenix_v1/images_cache/thumbs/5b7e3e3bdbfb72924a6ea81a6039b750.webp?v=1790828461</t>
  </si>
  <si>
    <t>06445625-7f2f-11ec-b73f-0018e40a3af2</t>
  </si>
  <si>
    <t>68456</t>
  </si>
  <si>
    <t>нефрит (КШ-9130)</t>
  </si>
  <si>
    <t>https://www.lavrpack.ru/local/templates/phoenix_v1/images_cache/thumbs/a8a6dcc80a7657ff908b5165bc21d720.webp?v=1790801689</t>
  </si>
  <si>
    <t>00268c69-2f46-11ed-8758-00e01a6800eb</t>
  </si>
  <si>
    <t>75592</t>
  </si>
  <si>
    <t>кремовый (КШ-9144)</t>
  </si>
  <si>
    <t>https://www.lavrpack.ru/local/templates/phoenix_v1/images_cache/thumbs/4d8d05768ddcb96e72db0f728f6a4d07.webp?v=1790828461</t>
  </si>
  <si>
    <t>2ea5db5a-6521-11ef-ab51-1cfd08767542#41fdce21-6521-11ef-ab51-1cfd08767542</t>
  </si>
  <si>
    <t>109182</t>
  </si>
  <si>
    <t>Кашпо "Акварель" , Вишневый</t>
  </si>
  <si>
    <t>https://www.lavrpack.ru/local/templates/phoenix_v1/images_cache/thumbs/1661039ae776d841c3d4d3c7975570e4.webp?v=1790788476</t>
  </si>
  <si>
    <t>f0ca1aa5-0088-11ef-9f05-00e01a6800eb#160781e0-0089-11ef-9f05-00e01a6800eb</t>
  </si>
  <si>
    <t>107341</t>
  </si>
  <si>
    <t>Кашпо "Бархан" (1</t>
  </si>
  <si>
    <t>Серебряный</t>
  </si>
  <si>
    <t>4л),</t>
  </si>
  <si>
    <t>https://www.lavrpack.ru/local/templates/phoenix_v1/images_cache/thumbs/d307d9406955f1907ad4bc2bee4dad10.webp?v=1790788476</t>
  </si>
  <si>
    <t>db6bc4d6-e270-11ed-8488-00e01a6800eb#960e0c55-fe22-11ee-9f05-00e01a6800eb</t>
  </si>
  <si>
    <t>102303</t>
  </si>
  <si>
    <t>Кашпо "Бархан" (2</t>
  </si>
  <si>
    <t>25л),</t>
  </si>
  <si>
    <t>https://www.lavrpack.ru/local/templates/phoenix_v1/images_cache/thumbs/58e6315610f98b3a61315004722475eb.webp?v=1790788476</t>
  </si>
  <si>
    <t>db6bc4d6-e270-11ed-8488-00e01a6800eb#9df55dfe-fe22-11ee-9f05-00e01a6800eb</t>
  </si>
  <si>
    <t>https://www.lavrpack.ru/local/templates/phoenix_v1/images_cache/thumbs/6951cb6eaf1cd73b8f6a44fef81d4308.webp?v=1790788476</t>
  </si>
  <si>
    <t>65f47df8-e271-11ed-8488-00e01a6800eb#99d11dc4-fe20-11ee-9f05-00e01a6800eb</t>
  </si>
  <si>
    <t>102304</t>
  </si>
  <si>
    <t>Кашпо "Бархан" (3</t>
  </si>
  <si>
    <t>5л),</t>
  </si>
  <si>
    <t>https://www.lavrpack.ru/local/templates/phoenix_v1/images_cache/thumbs/754ec95939079c9110cb5024145cbcdf.webp?v=1790788476</t>
  </si>
  <si>
    <t>e521b54d-3f51-11ef-ab4d-1cfd08767543#05ac03f9-3f52-11ef-ab4d-1cfd08767543</t>
  </si>
  <si>
    <t>108477</t>
  </si>
  <si>
    <t>Кашпо "Бархан" (12л), Кремовый</t>
  </si>
  <si>
    <t>https://www.lavrpack.ru/local/templates/phoenix_v1/images_cache/thumbs/3ee4b11c4f812f50130594080fd227bc.webp?v=1790828461</t>
  </si>
  <si>
    <t>e521b54d-3f51-11ef-ab4d-1cfd08767543#0dac0518-3f52-11ef-ab4d-1cfd08767543</t>
  </si>
  <si>
    <t>Кашпо "Бархан" (12л), Мокачино</t>
  </si>
  <si>
    <t>https://www.lavrpack.ru/local/templates/phoenix_v1/images_cache/thumbs/85de3066dcf5965ab8ced204a22737e3.webp?v=1790788476</t>
  </si>
  <si>
    <t>9899e4a2-0078-11ef-9f05-00e01a6800eb#b5175d68-0078-11ef-9f05-00e01a6800eb</t>
  </si>
  <si>
    <t>107334</t>
  </si>
  <si>
    <t>Кашпо "Бархан" с донышком (7</t>
  </si>
  <si>
    <t>Серый жемчуг</t>
  </si>
  <si>
    <t>https://www.lavrpack.ru/local/templates/phoenix_v1/images_cache/thumbs/916a6ef9117b4a4e95acfa0e32902053.webp?v=1790828461</t>
  </si>
  <si>
    <t>9d4a5585-70cc-11ef-ab51-1cfd08767542#ce4c6507-70cd-11ef-ab51-1cfd08767542</t>
  </si>
  <si>
    <t>109508</t>
  </si>
  <si>
    <t>Кашпо "Бельгия", Бронза №0 (9см)</t>
  </si>
  <si>
    <t>https://www.lavrpack.ru/local/templates/phoenix_v1/images_cache/thumbs/ee2a34f24f713e0d52945dfdac28938e.webp?v=1790828461</t>
  </si>
  <si>
    <t>9d4a5585-70cc-11ef-ab51-1cfd08767542#dcaff72a-70cd-11ef-ab51-1cfd08767542</t>
  </si>
  <si>
    <t>Кашпо "Бельгия", Золото №0 (9см)</t>
  </si>
  <si>
    <t>https://www.lavrpack.ru/local/templates/phoenix_v1/images_cache/thumbs/ee0f69bfe0ea9da40dca148c101049d9.webp?v=1790828461</t>
  </si>
  <si>
    <t>9d4a5585-70cc-11ef-ab51-1cfd08767542#3d62f537-70ce-11ef-ab51-1cfd08767542</t>
  </si>
  <si>
    <t>Кашпо "Бельгия", Майолика №1 (12см)</t>
  </si>
  <si>
    <t>https://www.lavrpack.ru/local/templates/phoenix_v1/images_cache/thumbs/f49ffa886eeba98df7637921369770d8.webp?v=1790828461</t>
  </si>
  <si>
    <t>4e8b3f36-6525-11ef-ab51-1cfd08767542#06466a11-6526-11ef-ab51-1cfd08767542</t>
  </si>
  <si>
    <t>109185</t>
  </si>
  <si>
    <t>Кашпо "Брюссель", Серый/золото №3 (2</t>
  </si>
  <si>
    <t>6л/18см)</t>
  </si>
  <si>
    <t>https://www.lavrpack.ru/local/templates/phoenix_v1/images_cache/thumbs/532a7c01a40d34149850cce7a9770271.webp?v=1790788476</t>
  </si>
  <si>
    <t>4e8b3f36-6525-11ef-ab51-1cfd08767542#1156e79c-6526-11ef-ab51-1cfd08767542</t>
  </si>
  <si>
    <t>Кашпо "Брюссель", Серый/золото №4 (4</t>
  </si>
  <si>
    <t>2л/21см)</t>
  </si>
  <si>
    <t>https://www.lavrpack.ru/local/templates/phoenix_v1/images_cache/thumbs/b55b555d22c8eaf6ff013837ee71945d.webp?v=1790788476</t>
  </si>
  <si>
    <t>4e8b3f36-6525-11ef-ab51-1cfd08767542#3b2f5f8d-6526-11ef-ab51-1cfd08767542</t>
  </si>
  <si>
    <t>Кашпо "Брюссель", Серый/серебро №4 (4</t>
  </si>
  <si>
    <t>https://www.lavrpack.ru/local/templates/phoenix_v1/images_cache/thumbs/7b12c8772caf7bde6362b084390f7775.webp?v=1790788476</t>
  </si>
  <si>
    <t>576da481-6527-11ef-ab51-1cfd08767542#6e60510c-6527-11ef-ab51-1cfd08767542</t>
  </si>
  <si>
    <t>109188</t>
  </si>
  <si>
    <t>Кашпо "Букле", Зеленый №1 (0</t>
  </si>
  <si>
    <t>7л/12см)</t>
  </si>
  <si>
    <t>https://www.lavrpack.ru/local/templates/phoenix_v1/images_cache/thumbs/ab856b2f7ccce2d13e85a91be298e725.webp?v=1790828461</t>
  </si>
  <si>
    <t>576da481-6527-11ef-ab51-1cfd08767542#7e2bec48-6527-11ef-ab51-1cfd08767542</t>
  </si>
  <si>
    <t>Кашпо "Букле", Зеленый №3 (2</t>
  </si>
  <si>
    <t>3л/18см)</t>
  </si>
  <si>
    <t>https://www.lavrpack.ru/local/templates/phoenix_v1/images_cache/thumbs/22cc0b31771b30f7952a020d753f9817.webp?v=1790788476</t>
  </si>
  <si>
    <t>576da481-6527-11ef-ab51-1cfd08767542#91226882-6527-11ef-ab51-1cfd08767542</t>
  </si>
  <si>
    <t>Кашпо "Букле", Розовый №1 (0</t>
  </si>
  <si>
    <t>https://www.lavrpack.ru/local/templates/phoenix_v1/images_cache/thumbs/ed066234bce0980571ed051683d22a4e.webp?v=1790788476</t>
  </si>
  <si>
    <t>576da481-6527-11ef-ab51-1cfd08767542#a0bbeb49-6527-11ef-ab51-1cfd08767542</t>
  </si>
  <si>
    <t>Кашпо "Букле", Розовый №3 (2</t>
  </si>
  <si>
    <t>https://www.lavrpack.ru/local/templates/phoenix_v1/images_cache/thumbs/23ecca44d0293a0303963be7c69640dc.webp?v=1790828461</t>
  </si>
  <si>
    <t>576da481-6527-11ef-ab51-1cfd08767542#b0a1ba1e-6527-11ef-ab51-1cfd08767542</t>
  </si>
  <si>
    <t>Кашпо "Букле", Серый №1 (0</t>
  </si>
  <si>
    <t>https://www.lavrpack.ru/local/templates/phoenix_v1/images_cache/thumbs/63e342f1def711790d36c511bc142960.webp?v=1790788476</t>
  </si>
  <si>
    <t>576da481-6527-11ef-ab51-1cfd08767542#be0af60b-6527-11ef-ab51-1cfd08767542</t>
  </si>
  <si>
    <t>Кашпо "Букле", Серый №3 (2</t>
  </si>
  <si>
    <t>https://www.lavrpack.ru/local/templates/phoenix_v1/images_cache/thumbs/177842b113a8d8b67c7eb4e3ad01a2f1.webp?v=1790788476</t>
  </si>
  <si>
    <t>18fe46c5-1983-11ee-8f7e-00e01a6800eb#140c6736-a375-11f0-ab48-22344d083d2c</t>
  </si>
  <si>
    <t>103240</t>
  </si>
  <si>
    <t>Кашпо "Гармония" (1</t>
  </si>
  <si>
    <t>https://www.lavrpack.ru/local/templates/phoenix_v1/images_cache/thumbs/08b7db5f69c5885c6c1cddcb78c3e726.webp?v=1790788476</t>
  </si>
  <si>
    <t>18fe46c5-1983-11ee-8f7e-00e01a6800eb#136779b1-fe27-11ee-9f05-00e01a6800eb</t>
  </si>
  <si>
    <t>Мята/Белый</t>
  </si>
  <si>
    <t>https://www.lavrpack.ru/local/templates/phoenix_v1/images_cache/thumbs/6e60b7d109172fc7aafe2218562dd582.webp?v=1790828461</t>
  </si>
  <si>
    <t>18fe46c5-1983-11ee-8f7e-00e01a6800eb#43b81a1a-1983-11ee-8f7e-00e01a6800eb</t>
  </si>
  <si>
    <t>Сливовый/Антрацит</t>
  </si>
  <si>
    <t>https://www.lavrpack.ru/local/templates/phoenix_v1/images_cache/thumbs/cbeb1acbc168c812b03093bf0dddb041.webp?v=1790828461</t>
  </si>
  <si>
    <t>18fe46c5-1983-11ee-8f7e-00e01a6800eb#fc9d2cf1-fe26-11ee-9f05-00e01a6800eb</t>
  </si>
  <si>
    <t>Пудровый</t>
  </si>
  <si>
    <t>https://www.lavrpack.ru/local/templates/phoenix_v1/images_cache/thumbs/c1bf8b001bf8932265c1abf4d21fb61c.webp?v=1790828461</t>
  </si>
  <si>
    <t>18fe46c5-1983-11ee-8f7e-00e01a6800eb#536eef5f-1983-11ee-8f7e-00e01a6800eb</t>
  </si>
  <si>
    <t>Фисташка</t>
  </si>
  <si>
    <t>https://www.lavrpack.ru/local/templates/phoenix_v1/images_cache/thumbs/381c901c5528400613448576e71bd77e.webp?v=1790828461</t>
  </si>
  <si>
    <t>18fe46c5-1983-11ee-8f7e-00e01a6800eb#ae487a44-093f-11f0-ab3f-22344d083d2c</t>
  </si>
  <si>
    <t>Белый (КШ-9287)</t>
  </si>
  <si>
    <t>https://www.lavrpack.ru/local/templates/phoenix_v1/images_cache/thumbs/063c6da91acc2f0f52d2a819588e4f3d.webp?v=1790828461</t>
  </si>
  <si>
    <t>18fe46c5-1983-11ee-8f7e-00e01a6800eb#bab96f9e-093f-11f0-ab3f-22344d083d2c</t>
  </si>
  <si>
    <t>Мокачино/Белый (КШ-4718)</t>
  </si>
  <si>
    <t>https://www.lavrpack.ru/local/templates/phoenix_v1/images_cache/thumbs/b0a91f91d48594a3017f5b81793c7c65.webp?v=1790788476</t>
  </si>
  <si>
    <t>4ee638b0-652a-11ef-ab51-1cfd08767542#823700d9-652a-11ef-ab51-1cfd08767542</t>
  </si>
  <si>
    <t>109190</t>
  </si>
  <si>
    <t>Кашпо "Гипюр", Белый №3 (2</t>
  </si>
  <si>
    <t>9л/19см)</t>
  </si>
  <si>
    <t>https://www.lavrpack.ru/local/templates/phoenix_v1/images_cache/thumbs/e4c5a6dcfde26983d05f0edd7e5ce247.webp?v=1790788476</t>
  </si>
  <si>
    <t>a7730171-652b-11ef-ab51-1cfd08767542#f73c32b6-652b-11ef-ab51-1cfd08767542</t>
  </si>
  <si>
    <t>109191</t>
  </si>
  <si>
    <t>Кашпо "Гнездо", Бежевый №4 (4</t>
  </si>
  <si>
    <t>https://www.lavrpack.ru/local/templates/phoenix_v1/images_cache/thumbs/889a3f9f08c108bc5256d41e49c2767f.webp?v=1790828461</t>
  </si>
  <si>
    <t>a7730171-652b-11ef-ab51-1cfd08767542#a9f8a2fa-6ea1-11ef-ab51-1cfd08767542</t>
  </si>
  <si>
    <t>Кашпо "Гнездо", Белый №4 (4</t>
  </si>
  <si>
    <t>https://www.lavrpack.ru/local/templates/phoenix_v1/images_cache/thumbs/8a3e43c5b8b4d5622f93df6ead38d526.webp?v=1790828461</t>
  </si>
  <si>
    <t>a7730171-652b-11ef-ab51-1cfd08767542#23f72d15-6ea2-11ef-ab51-1cfd08767542</t>
  </si>
  <si>
    <t>Кашпо "Гнездо", Зеленый №3 (2</t>
  </si>
  <si>
    <t>https://www.lavrpack.ru/local/templates/phoenix_v1/images_cache/thumbs/41da6c7fde277623a603ab3b13d306a3.webp?v=1790788476</t>
  </si>
  <si>
    <t>a7730171-652b-11ef-ab51-1cfd08767542#3199a0cb-6ea2-11ef-ab51-1cfd08767542</t>
  </si>
  <si>
    <t>Кашпо "Гнездо", Зеленый №4 (4</t>
  </si>
  <si>
    <t>https://www.lavrpack.ru/local/templates/phoenix_v1/images_cache/thumbs/208bfcd303a8a3933114b3254e9c33c5.webp?v=1790788476</t>
  </si>
  <si>
    <t>a7730171-652b-11ef-ab51-1cfd08767542#673c2518-6ea2-11ef-ab51-1cfd08767542</t>
  </si>
  <si>
    <t>Кашпо "Гнездо", Серый №1 (0</t>
  </si>
  <si>
    <t>70л/12см)</t>
  </si>
  <si>
    <t>https://www.lavrpack.ru/local/templates/phoenix_v1/images_cache/thumbs/ec2d2f7b67633ab938b959dfac5e8d99.webp?v=1790788476</t>
  </si>
  <si>
    <t>a7730171-652b-11ef-ab51-1cfd08767542#734947cd-6ea2-11ef-ab51-1cfd08767542</t>
  </si>
  <si>
    <t>Кашпо "Гнездо", Серый №2 (1</t>
  </si>
  <si>
    <t>4л/15см)</t>
  </si>
  <si>
    <t>https://www.lavrpack.ru/local/templates/phoenix_v1/images_cache/thumbs/87391af9f1a6cdc83ead84a2ed88fd56.webp?v=1790788476</t>
  </si>
  <si>
    <t>a7730171-652b-11ef-ab51-1cfd08767542#7fd72a6b-6ea2-11ef-ab51-1cfd08767542</t>
  </si>
  <si>
    <t>Кашпо "Гнездо", Серый №3 (2</t>
  </si>
  <si>
    <t>https://www.lavrpack.ru/local/templates/phoenix_v1/images_cache/thumbs/5ffc76a9c9303f4c0c6a27bcb971d75c.webp?v=1790828461</t>
  </si>
  <si>
    <t>a7730171-652b-11ef-ab51-1cfd08767542#f9c74b47-6ea2-11ef-ab51-1cfd08767542</t>
  </si>
  <si>
    <t>Кашпо "Гнездо", Шампань №1 (0</t>
  </si>
  <si>
    <t>https://www.lavrpack.ru/local/templates/phoenix_v1/images_cache/thumbs/85bd4d1b2dd61071570d8eeee12c61d6.webp?v=1790828461</t>
  </si>
  <si>
    <t>a7730171-652b-11ef-ab51-1cfd08767542#1bbc1b49-6ea3-11ef-ab51-1cfd08767542</t>
  </si>
  <si>
    <t>Кашпо "Гнездо", Шампань №3 (2</t>
  </si>
  <si>
    <t>https://www.lavrpack.ru/local/templates/phoenix_v1/images_cache/thumbs/4b8f243f3e4eb1097b6a7d8e19be9c7c.webp?v=1790828461</t>
  </si>
  <si>
    <t>d33b4578-6ea6-11ef-ab51-1cfd08767542#e751e423-6ea6-11ef-ab51-1cfd08767542</t>
  </si>
  <si>
    <t>109388</t>
  </si>
  <si>
    <t>Кашпо "Грань", Белый №2 (1</t>
  </si>
  <si>
    <t>31л/15см)</t>
  </si>
  <si>
    <t>https://www.lavrpack.ru/local/templates/phoenix_v1/images_cache/thumbs/10f4734c6c0a25fe8b7b26ca50e4b51c.webp?v=1790828461</t>
  </si>
  <si>
    <t>d33b4578-6ea6-11ef-ab51-1cfd08767542#ee27dda0-6ea6-11ef-ab51-1cfd08767542</t>
  </si>
  <si>
    <t>Кашпо "Грань", Белый №3 (2</t>
  </si>
  <si>
    <t>15л/18см)</t>
  </si>
  <si>
    <t>https://www.lavrpack.ru/local/templates/phoenix_v1/images_cache/thumbs/70825ae82fade1d29b0019af67a0b37f.webp?v=1790828461</t>
  </si>
  <si>
    <t>d33b4578-6ea6-11ef-ab51-1cfd08767542#46636c60-6ea7-11ef-ab51-1cfd08767542</t>
  </si>
  <si>
    <t>Кашпо "Грань", Желтый №1 (0</t>
  </si>
  <si>
    <t>https://www.lavrpack.ru/local/templates/phoenix_v1/images_cache/thumbs/4d15247baec4e90e7ae83d1ab593199f.webp?v=1790788476</t>
  </si>
  <si>
    <t>d33b4578-6ea6-11ef-ab51-1cfd08767542#5b556cee-6ea7-11ef-ab51-1cfd08767542</t>
  </si>
  <si>
    <t>Кашпо "Грань", Желтый №3 (2</t>
  </si>
  <si>
    <t>https://www.lavrpack.ru/local/templates/phoenix_v1/images_cache/thumbs/4a4d4ebd65a05fd2506f7ccb3ea56f77.webp?v=1790828461</t>
  </si>
  <si>
    <t>d33b4578-6ea6-11ef-ab51-1cfd08767542#6ef75000-6ea7-11ef-ab51-1cfd08767542</t>
  </si>
  <si>
    <t>Кашпо "Грань", Зеленый №1 (0</t>
  </si>
  <si>
    <t>https://www.lavrpack.ru/local/templates/phoenix_v1/images_cache/thumbs/82282f753c984152abaeed1430c1911a.webp?v=1790788476</t>
  </si>
  <si>
    <t>d33b4578-6ea6-11ef-ab51-1cfd08767542#d2a066da-6ea7-11ef-ab51-1cfd08767542</t>
  </si>
  <si>
    <t>Кашпо "Грань", Светло-серый цилиндр №2</t>
  </si>
  <si>
    <t>https://www.lavrpack.ru/local/templates/phoenix_v1/images_cache/thumbs/a1ddc942b27f8f8984f2e6ad6621b1b6.webp?v=1790828461</t>
  </si>
  <si>
    <t>d33b4578-6ea6-11ef-ab51-1cfd08767542#0b501fa2-6eaa-11ef-ab51-1cfd08767542</t>
  </si>
  <si>
    <t>Кашпо "Грань", Терракота №1 (0</t>
  </si>
  <si>
    <t>https://www.lavrpack.ru/local/templates/phoenix_v1/images_cache/thumbs/14a607b5ba5c13bf43536c4e5a287a92.webp?v=1790788476</t>
  </si>
  <si>
    <t>d33b4578-6ea6-11ef-ab51-1cfd08767542#29dc450c-6eaa-11ef-ab51-1cfd08767542</t>
  </si>
  <si>
    <t>Кашпо "Грань", Терракота №3 (2</t>
  </si>
  <si>
    <t>20л/18см)</t>
  </si>
  <si>
    <t>https://www.lavrpack.ru/local/templates/phoenix_v1/images_cache/thumbs/dcac345fb5d60300ebc71fe2af98ca60.webp?v=1790788476</t>
  </si>
  <si>
    <t>a7b6419d-006a-11ef-9f05-00e01a6800eb#41467c0b-0940-11f0-ab3f-22344d083d2c</t>
  </si>
  <si>
    <t>107331</t>
  </si>
  <si>
    <t>Кашпо "Грация прайм" (0</t>
  </si>
  <si>
    <t>Мокачино (КШ-4299)</t>
  </si>
  <si>
    <t>https://www.lavrpack.ru/local/templates/phoenix_v1/images_cache/thumbs/a053c60217154b2945c588c6513c0f0e.webp?v=1790828461</t>
  </si>
  <si>
    <t>a7b6419d-006a-11ef-9f05-00e01a6800eb#c2fbe566-006a-11ef-9f05-00e01a6800eb</t>
  </si>
  <si>
    <t>Пудровый (КШ-4298)</t>
  </si>
  <si>
    <t>https://www.lavrpack.ru/local/templates/phoenix_v1/images_cache/thumbs/92d64fbecd8ee373f1497d795e938c32.webp?v=1790788476</t>
  </si>
  <si>
    <t>a7b6419d-006a-11ef-9f05-00e01a6800eb#bc36fba1-006a-11ef-9f05-00e01a6800eb</t>
  </si>
  <si>
    <t>Белый (КШ-4399)</t>
  </si>
  <si>
    <t>https://www.lavrpack.ru/local/templates/phoenix_v1/images_cache/thumbs/565b35e218bed0393668aa4a50125de9.webp?v=1790788476</t>
  </si>
  <si>
    <t>b268abbe-006c-11ef-9f05-00e01a6800eb#b9325846-006c-11ef-9f05-00e01a6800eb</t>
  </si>
  <si>
    <t>107332</t>
  </si>
  <si>
    <t>Кашпо "Грация прайм" (1</t>
  </si>
  <si>
    <t>Белый (КШ-4400)</t>
  </si>
  <si>
    <t>3л),</t>
  </si>
  <si>
    <t>https://www.lavrpack.ru/local/templates/phoenix_v1/images_cache/thumbs/3d8ea8bb6728508505415cfd97beb467.webp?v=1790788476</t>
  </si>
  <si>
    <t>b268abbe-006c-11ef-9f05-00e01a6800eb#6a995f34-0157-11ef-9f05-00e01a6800eb</t>
  </si>
  <si>
    <t>Антрацит (КШ-4296)</t>
  </si>
  <si>
    <t>https://www.lavrpack.ru/local/templates/phoenix_v1/images_cache/thumbs/7bd61e7f2c682094b5160488d26e4a2f.webp?v=1790788476</t>
  </si>
  <si>
    <t>ae3bfb34-e273-11ed-8488-00e01a6800eb#a82b82e2-fe23-11ee-9f05-00e01a6800eb</t>
  </si>
  <si>
    <t>102306</t>
  </si>
  <si>
    <t>Кашпо "Грация прайм" (2</t>
  </si>
  <si>
    <t>Пудровый (КШ-4290)</t>
  </si>
  <si>
    <t>https://www.lavrpack.ru/local/templates/phoenix_v1/images_cache/thumbs/56c23826f27799c3a91ee8bc6ba86984.webp?v=1790828461</t>
  </si>
  <si>
    <t>8c01971a-6f47-11ef-ab51-1cfd08767542#99ab30b4-6f47-11ef-ab51-1cfd08767542</t>
  </si>
  <si>
    <t>109432</t>
  </si>
  <si>
    <t>Кашпо "Грильяж", Аметист №2 (1</t>
  </si>
  <si>
    <t>22л/14см)</t>
  </si>
  <si>
    <t>https://www.lavrpack.ru/local/templates/phoenix_v1/images_cache/thumbs/5516d2aa52c391dc56ca29c76b92f486.webp?v=1790828461</t>
  </si>
  <si>
    <t>8c01971a-6f47-11ef-ab51-1cfd08767542#d80c7650-6f47-11ef-ab51-1cfd08767542</t>
  </si>
  <si>
    <t>Кашпо "Грильяж", Изумруд №4 (3</t>
  </si>
  <si>
    <t>82л/21см)</t>
  </si>
  <si>
    <t>https://www.lavrpack.ru/local/templates/phoenix_v1/images_cache/thumbs/f8a9b541d618b45058805c130f5dcfd6.webp?v=1790828461</t>
  </si>
  <si>
    <t>8c01971a-6f47-11ef-ab51-1cfd08767542#004824c8-6f48-11ef-ab51-1cfd08767542</t>
  </si>
  <si>
    <t>Кашпо "Грильяж", Топаз №4 (3</t>
  </si>
  <si>
    <t>https://www.lavrpack.ru/local/templates/phoenix_v1/images_cache/thumbs/ace552cf1b8d304b53d7ebf63e9b5d1f.webp?v=1790828461</t>
  </si>
  <si>
    <t>bc3ef5b4-6f4c-11ef-ab51-1cfd08767542#3a58bd1b-6f4d-11ef-ab51-1cfd08767542</t>
  </si>
  <si>
    <t>109434</t>
  </si>
  <si>
    <t>Кашпо "Дакар", Золото №1 (0</t>
  </si>
  <si>
    <t>6л/11см)</t>
  </si>
  <si>
    <t>https://www.lavrpack.ru/local/templates/phoenix_v1/images_cache/thumbs/dd020146385ed7dc7befe6588a791f66.webp?v=1790828461</t>
  </si>
  <si>
    <t>bc3ef5b4-6f4c-11ef-ab51-1cfd08767542#40c5d0ef-6f4d-11ef-ab51-1cfd08767542</t>
  </si>
  <si>
    <t>Кашпо "Дакар", Золото №2 (1</t>
  </si>
  <si>
    <t>4л/14см)</t>
  </si>
  <si>
    <t>https://www.lavrpack.ru/local/templates/phoenix_v1/images_cache/thumbs/a943fcb576850ba327cfc1fcef97cce1.webp?v=1790828461</t>
  </si>
  <si>
    <t>bc3ef5b4-6f4c-11ef-ab51-1cfd08767542#56daaf62-6f4d-11ef-ab51-1cfd08767542</t>
  </si>
  <si>
    <t>Кашпо "Дакар", Серебро №1 (0</t>
  </si>
  <si>
    <t>https://www.lavrpack.ru/local/templates/phoenix_v1/images_cache/thumbs/4cd53777328791cc5059a2afa8977937.webp?v=1790788476</t>
  </si>
  <si>
    <t>bc3ef5b4-6f4c-11ef-ab51-1cfd08767542#603e0ab2-6f4d-11ef-ab51-1cfd08767542</t>
  </si>
  <si>
    <t>Кашпо "Дакар", Серебро №2 (1</t>
  </si>
  <si>
    <t>https://www.lavrpack.ru/local/templates/phoenix_v1/images_cache/thumbs/60b73fd87e2b00445985031bede11774.webp?v=1790788476</t>
  </si>
  <si>
    <t>bc3ef5b4-6f4c-11ef-ab51-1cfd08767542#6788d998-6f4d-11ef-ab51-1cfd08767542</t>
  </si>
  <si>
    <t>Кашпо "Дакар", Серебро №3 (2</t>
  </si>
  <si>
    <t>7л/18см)</t>
  </si>
  <si>
    <t>https://www.lavrpack.ru/local/templates/phoenix_v1/images_cache/thumbs/ced1d4f5a25dba9c9418b5c75261eed1.webp?v=1790788476</t>
  </si>
  <si>
    <t>bc3ef5b4-6f4c-11ef-ab51-1cfd08767542#74bd9ad0-6f4d-11ef-ab51-1cfd08767542</t>
  </si>
  <si>
    <t>Кашпо "Дакар", Серый №1 (0</t>
  </si>
  <si>
    <t>https://www.lavrpack.ru/local/templates/phoenix_v1/images_cache/thumbs/e50cf046697f136376232374541c26a4.webp?v=1790788476</t>
  </si>
  <si>
    <t>bc3ef5b4-6f4c-11ef-ab51-1cfd08767542#7e9f3584-6f4d-11ef-ab51-1cfd08767542</t>
  </si>
  <si>
    <t>Кашпо "Дакар", Серый №2 (1</t>
  </si>
  <si>
    <t>https://www.lavrpack.ru/local/templates/phoenix_v1/images_cache/thumbs/4cb423acd7f2054086cb1e18ef825bfa.webp?v=1790788476</t>
  </si>
  <si>
    <t>bc3ef5b4-6f4c-11ef-ab51-1cfd08767542#859b5690-6f4d-11ef-ab51-1cfd08767542</t>
  </si>
  <si>
    <t>Кашпо "Дакар", Серый №3 (2</t>
  </si>
  <si>
    <t>https://www.lavrpack.ru/local/templates/phoenix_v1/images_cache/thumbs/447c9e6043a62ff56004cb68e7b538fd.webp?v=1790788476</t>
  </si>
  <si>
    <t>5e100c10-720d-11ed-bb4b-00e01a6800eb</t>
  </si>
  <si>
    <t>77535</t>
  </si>
  <si>
    <t>Кашпо "Декор"</t>
  </si>
  <si>
    <t>мрамор черный (КШ-9419)</t>
  </si>
  <si>
    <t>5л.,</t>
  </si>
  <si>
    <t>https://www.lavrpack.ru/local/templates/phoenix_v1/images_cache/thumbs/5394100f050e5e43782c667d1a3e5a84.webp?v=1790788476</t>
  </si>
  <si>
    <t>917ea250-6f4e-11ef-ab51-1cfd08767542#d33eebb9-6f4e-11ef-ab51-1cfd08767542</t>
  </si>
  <si>
    <t>109435</t>
  </si>
  <si>
    <t>Кашпо "Живопись", Сиреневый №3 (2</t>
  </si>
  <si>
    <t>https://www.lavrpack.ru/local/templates/phoenix_v1/images_cache/thumbs/f367d19c3abb89f81a6735c2eb96ca5c.webp?v=1790828461</t>
  </si>
  <si>
    <t>917ea250-6f4e-11ef-ab51-1cfd08767542#edc51427-6f4e-11ef-ab51-1cfd08767542</t>
  </si>
  <si>
    <t>Кашпо "Живопись", Черный №2 (1</t>
  </si>
  <si>
    <t>https://www.lavrpack.ru/local/templates/phoenix_v1/images_cache/thumbs/09c8e7927204512cf779154bb55df43e.webp?v=1790828461</t>
  </si>
  <si>
    <t>917ea250-6f4e-11ef-ab51-1cfd08767542#f5019738-6f4e-11ef-ab51-1cfd08767542</t>
  </si>
  <si>
    <t>Кашпо "Живопись", Черный №3 (2</t>
  </si>
  <si>
    <t>https://www.lavrpack.ru/local/templates/phoenix_v1/images_cache/thumbs/b998202c371a40156d93379ff0db4ebf.webp?v=1790828461</t>
  </si>
  <si>
    <t>c9c4dc3f-6f50-11ef-ab51-1cfd08767542#2068dfb3-6f51-11ef-ab51-1cfd08767542</t>
  </si>
  <si>
    <t>109437</t>
  </si>
  <si>
    <t>Кашпо "Камешки", Серый №4 (4</t>
  </si>
  <si>
    <t>0л/21см)</t>
  </si>
  <si>
    <t>https://www.lavrpack.ru/local/templates/phoenix_v1/images_cache/thumbs/69e47ef362ea9f0ca3929eacda0c4276.webp?v=1790828461</t>
  </si>
  <si>
    <t>6ba02150-6f52-11ef-ab51-1cfd08767542#83a28e8c-6f52-11ef-ab51-1cfd08767542</t>
  </si>
  <si>
    <t>109438</t>
  </si>
  <si>
    <t>Кашпо "Кедр", Серый №2 (1</t>
  </si>
  <si>
    <t>https://www.lavrpack.ru/local/templates/phoenix_v1/images_cache/thumbs/3f890c32a45aa8196ab702dca9a96ad8.webp?v=1790788476</t>
  </si>
  <si>
    <t>a5194eeb-720a-11ed-bb4b-00e01a6800eb</t>
  </si>
  <si>
    <t>77521</t>
  </si>
  <si>
    <t>Кашпо "Классика"</t>
  </si>
  <si>
    <t>мокко (КШ-9017)</t>
  </si>
  <si>
    <t>3л.,</t>
  </si>
  <si>
    <t>https://www.lavrpack.ru/local/templates/phoenix_v1/images_cache/thumbs/6dabd2fb08a0682b83a799e8abe144a4.webp?v=1790832077</t>
  </si>
  <si>
    <t>bb0d871d-6f53-11ef-ab51-1cfd08767542#c4ffd5dc-6f53-11ef-ab51-1cfd08767542</t>
  </si>
  <si>
    <t>109446</t>
  </si>
  <si>
    <t>Кашпо "Конкрит", Серый №1 (0</t>
  </si>
  <si>
    <t>https://www.lavrpack.ru/local/templates/phoenix_v1/images_cache/thumbs/6a2c8984cbee4815e9667a2a6c05ebef.webp?v=1790788476</t>
  </si>
  <si>
    <t>791c66be-6f61-11ef-ab51-1cfd08767542#93695757-6f61-11ef-ab51-1cfd08767542</t>
  </si>
  <si>
    <t>109451</t>
  </si>
  <si>
    <t>Кашпо "Кросс", Белый №2 (1</t>
  </si>
  <si>
    <t>6л/15см)</t>
  </si>
  <si>
    <t>https://www.lavrpack.ru/local/templates/phoenix_v1/images_cache/thumbs/365a522a744253989d5de821947c854a.webp?v=1790788476</t>
  </si>
  <si>
    <t>791c66be-6f61-11ef-ab51-1cfd08767542#a5901db3-6f61-11ef-ab51-1cfd08767542</t>
  </si>
  <si>
    <t>Кашпо "Кросс", Белый №3 (2</t>
  </si>
  <si>
    <t>9л,19см)</t>
  </si>
  <si>
    <t>https://www.lavrpack.ru/local/templates/phoenix_v1/images_cache/thumbs/a188281ee552baa84c01d9289594e551.webp?v=1790828461</t>
  </si>
  <si>
    <t>791c66be-6f61-11ef-ab51-1cfd08767542#16883ddc-6f62-11ef-ab51-1cfd08767542</t>
  </si>
  <si>
    <t>Кашпо "Кросс", Серый №1 (0</t>
  </si>
  <si>
    <t>8л/12см)</t>
  </si>
  <si>
    <t>https://www.lavrpack.ru/local/templates/phoenix_v1/images_cache/thumbs/540fa741a9e638f99c8aa7c51516ce74.webp?v=1790828461</t>
  </si>
  <si>
    <t>791c66be-6f61-11ef-ab51-1cfd08767542#2634d2c1-6f62-11ef-ab51-1cfd08767542</t>
  </si>
  <si>
    <t>Кашпо "Кросс", Серый №2 (1</t>
  </si>
  <si>
    <t>https://www.lavrpack.ru/local/templates/phoenix_v1/images_cache/thumbs/d5da8b50e1a2e4dfde65331d9ffb10a4.webp?v=1790788476</t>
  </si>
  <si>
    <t>791c66be-6f61-11ef-ab51-1cfd08767542#2c9ac30e-6f62-11ef-ab51-1cfd08767542</t>
  </si>
  <si>
    <t>Кашпо "Кросс", Серый №3 (2</t>
  </si>
  <si>
    <t>https://www.lavrpack.ru/local/templates/phoenix_v1/images_cache/thumbs/857ed9694643f5d6d66cced489f73b87.webp?v=1790788476</t>
  </si>
  <si>
    <t>2e2e2d1b-6f63-11ef-ab51-1cfd08767542#4e60699a-6f63-11ef-ab51-1cfd08767542</t>
  </si>
  <si>
    <t>109452</t>
  </si>
  <si>
    <t>Кашпо "Кукушка", Белый №3 (2</t>
  </si>
  <si>
    <t>https://www.lavrpack.ru/local/templates/phoenix_v1/images_cache/thumbs/7666ac2378dfc2829c43c6284953cc96.webp?v=1790828461</t>
  </si>
  <si>
    <t>e7483fe5-6f63-11ef-ab51-1cfd08767542#f29909b5-6f63-11ef-ab51-1cfd08767542</t>
  </si>
  <si>
    <t>109453</t>
  </si>
  <si>
    <t>Кашпо "Лоза", Бежевый №1 (0</t>
  </si>
  <si>
    <t>https://www.lavrpack.ru/local/templates/phoenix_v1/images_cache/thumbs/8d587530da1e51f7d0477592a25cd64b.webp?v=1790788476</t>
  </si>
  <si>
    <t>e7483fe5-6f63-11ef-ab51-1cfd08767542#f8dff9c6-6f63-11ef-ab51-1cfd08767542</t>
  </si>
  <si>
    <t>Кашпо "Лоза", Бежевый №2 (1</t>
  </si>
  <si>
    <t>https://www.lavrpack.ru/local/templates/phoenix_v1/images_cache/thumbs/9f43707b5d53b87fbb750cf5e16deef7.webp?v=1790788476</t>
  </si>
  <si>
    <t>e7483fe5-6f63-11ef-ab51-1cfd08767542#f8dff9d6-6f63-11ef-ab51-1cfd08767542</t>
  </si>
  <si>
    <t>Кашпо "Лоза", Бежевый №3 (2</t>
  </si>
  <si>
    <t>https://www.lavrpack.ru/local/templates/phoenix_v1/images_cache/thumbs/f75f40d48c1ea6d9442af0465748cae1.webp?v=1790788476</t>
  </si>
  <si>
    <t>e7483fe5-6f63-11ef-ab51-1cfd08767542#0ca0d4fb-6f64-11ef-ab51-1cfd08767542</t>
  </si>
  <si>
    <t>Кашпо "Лоза", Белый №2 (1</t>
  </si>
  <si>
    <t>https://www.lavrpack.ru/local/templates/phoenix_v1/images_cache/thumbs/e498a40d6d86ec553a44e5d3577ba4ed.webp?v=1790828461</t>
  </si>
  <si>
    <t>e7483fe5-6f63-11ef-ab51-1cfd08767542#254c8036-6f64-11ef-ab51-1cfd08767542</t>
  </si>
  <si>
    <t>Кашпо "Лоза", Зелено-серый №1 (0</t>
  </si>
  <si>
    <t>https://www.lavrpack.ru/local/templates/phoenix_v1/images_cache/thumbs/e823fe26b32b33600665c22ac5cd0f03.webp?v=1790828461</t>
  </si>
  <si>
    <t>e7483fe5-6f63-11ef-ab51-1cfd08767542#2e65d8f0-6f64-11ef-ab51-1cfd08767542</t>
  </si>
  <si>
    <t>Кашпо "Лоза", Зелено-серый №2 (1</t>
  </si>
  <si>
    <t>https://www.lavrpack.ru/local/templates/phoenix_v1/images_cache/thumbs/0624190d281306b029e9aa664801ce17.webp?v=1790828461</t>
  </si>
  <si>
    <t>e7483fe5-6f63-11ef-ab51-1cfd08767542#3874c444-6f64-11ef-ab51-1cfd08767542</t>
  </si>
  <si>
    <t>Кашпо "Лоза", Зелено-серый №3 (2</t>
  </si>
  <si>
    <t>https://www.lavrpack.ru/local/templates/phoenix_v1/images_cache/thumbs/8733ebcd97299d7dac32b7ef3f4ac28d.webp?v=1790828461</t>
  </si>
  <si>
    <t>e7483fe5-6f63-11ef-ab51-1cfd08767542#507731f9-6f64-11ef-ab51-1cfd08767542</t>
  </si>
  <si>
    <t>Кашпо "Лоза", Розово-серый №2 (1</t>
  </si>
  <si>
    <t>https://www.lavrpack.ru/local/templates/phoenix_v1/images_cache/thumbs/5be4ea450a260da33f0ba7292a6f02bf.webp?v=1790788476</t>
  </si>
  <si>
    <t>e7483fe5-6f63-11ef-ab51-1cfd08767542#5775b7e9-6f64-11ef-ab51-1cfd08767542</t>
  </si>
  <si>
    <t>Кашпо "Лоза", Розово-серый №3 (2</t>
  </si>
  <si>
    <t>https://www.lavrpack.ru/local/templates/phoenix_v1/images_cache/thumbs/bc9a0c46b738c704ee4c0b8132ae1e4a.webp?v=1790828461</t>
  </si>
  <si>
    <t>424fbba1-6f65-11ef-ab51-1cfd08767542#51ff0ea2-6f65-11ef-ab51-1cfd08767542</t>
  </si>
  <si>
    <t>109454</t>
  </si>
  <si>
    <t>Кашпо "Лофт", Серо-белый №1 (0</t>
  </si>
  <si>
    <t>https://www.lavrpack.ru/local/templates/phoenix_v1/images_cache/thumbs/98acca51d1a211a9792aead8228da7ca.webp?v=1790788476</t>
  </si>
  <si>
    <t>424fbba1-6f65-11ef-ab51-1cfd08767542#61c5dd80-6f65-11ef-ab51-1cfd08767542</t>
  </si>
  <si>
    <t>Кашпо "Лофт", Серо-белый №3 (2</t>
  </si>
  <si>
    <t>https://www.lavrpack.ru/local/templates/phoenix_v1/images_cache/thumbs/5efb80c3660f14a285b50d1e90045769.webp?v=1790788476</t>
  </si>
  <si>
    <t>424fbba1-6f65-11ef-ab51-1cfd08767542#7b24633a-6f65-11ef-ab51-1cfd08767542</t>
  </si>
  <si>
    <t>Кашпо "Лофт", Серо-красный №2 (1</t>
  </si>
  <si>
    <t>https://www.lavrpack.ru/local/templates/phoenix_v1/images_cache/thumbs/5ede3c507e73db4969efaa84df1e0231.webp?v=1790788476</t>
  </si>
  <si>
    <t>77514db5-6f6b-11ef-ab51-1cfd08767542#adebc8f4-6f6b-11ef-ab51-1cfd08767542</t>
  </si>
  <si>
    <t>109457</t>
  </si>
  <si>
    <t>Кашпо "Маджента", Белый №1 (0</t>
  </si>
  <si>
    <t>https://www.lavrpack.ru/local/templates/phoenix_v1/images_cache/thumbs/96b0bdf396f982770946d17736b88961.webp?v=1790828461</t>
  </si>
  <si>
    <t>77514db5-6f6b-11ef-ab51-1cfd08767542#b557fa01-6f6b-11ef-ab51-1cfd08767542</t>
  </si>
  <si>
    <t>Кашпо "Маджента", Белый №2 (1</t>
  </si>
  <si>
    <t>https://www.lavrpack.ru/local/templates/phoenix_v1/images_cache/thumbs/259bc93679bbc5323015bb51c4db8c12.webp?v=1790788476</t>
  </si>
  <si>
    <t>77514db5-6f6b-11ef-ab51-1cfd08767542#ce0d38cb-6f6b-11ef-ab51-1cfd08767542</t>
  </si>
  <si>
    <t>Кашпо "Маджента", Белый №3 (2</t>
  </si>
  <si>
    <t>https://www.lavrpack.ru/local/templates/phoenix_v1/images_cache/thumbs/e58c8a8d1b7d8964f55ced6fc87d84ba.webp?v=1790788476</t>
  </si>
  <si>
    <t>77514db5-6f6b-11ef-ab51-1cfd08767542#c7c6c379-6f6c-11ef-ab51-1cfd08767542</t>
  </si>
  <si>
    <t>Кашпо "Маджента", Белый №4 (4</t>
  </si>
  <si>
    <t>https://www.lavrpack.ru/local/templates/phoenix_v1/images_cache/thumbs/681bec1e950471ab3797109047004e28.webp?v=1790788476</t>
  </si>
  <si>
    <t>77514db5-6f6b-11ef-ab51-1cfd08767542#118720f7-6f6d-11ef-ab51-1cfd08767542</t>
  </si>
  <si>
    <t>Кашпо "Маджента", Серый №1 (0</t>
  </si>
  <si>
    <t>https://www.lavrpack.ru/local/templates/phoenix_v1/images_cache/thumbs/1cd2935ff760afede542d478f8adecaa.webp?v=1790828461</t>
  </si>
  <si>
    <t>77514db5-6f6b-11ef-ab51-1cfd08767542#27aa5653-6f6d-11ef-ab51-1cfd08767542</t>
  </si>
  <si>
    <t>Кашпо "Маджента", Серый №3 (2</t>
  </si>
  <si>
    <t>https://www.lavrpack.ru/local/templates/phoenix_v1/images_cache/thumbs/19393089d5867fb0654c1b41a0816925.webp?v=1790828461</t>
  </si>
  <si>
    <t>71dd9ae5-7022-11ef-ab51-1cfd08767542#5a1dc467-7025-11ef-ab51-1cfd08767542</t>
  </si>
  <si>
    <t>109498</t>
  </si>
  <si>
    <t>Кашпо "Манго", Белый №4 (4</t>
  </si>
  <si>
    <t>00л/21см)</t>
  </si>
  <si>
    <t>https://www.lavrpack.ru/local/templates/phoenix_v1/images_cache/thumbs/50c0cd82ad54723c7f6f7a9c490e30f0.webp?v=1790788476</t>
  </si>
  <si>
    <t>71dd9ae5-7022-11ef-ab51-1cfd08767542#612cfb46-7025-11ef-ab51-1cfd08767542</t>
  </si>
  <si>
    <t>Кашпо "Манго", Белый №6 (8</t>
  </si>
  <si>
    <t>00л/25см)</t>
  </si>
  <si>
    <t>https://www.lavrpack.ru/local/templates/phoenix_v1/images_cache/thumbs/b18f706ca5be4bdae74377d7fe87d87a.webp?v=1790788476</t>
  </si>
  <si>
    <t>71dd9ae5-7022-11ef-ab51-1cfd08767542#823f39a4-7025-11ef-ab51-1cfd08767542</t>
  </si>
  <si>
    <t>Кашпо "Манго", Серый №1 (0</t>
  </si>
  <si>
    <t>https://www.lavrpack.ru/local/templates/phoenix_v1/images_cache/thumbs/37a3fcb0808fb27b96f87217fd50935b.webp?v=1790828461</t>
  </si>
  <si>
    <t>71dd9ae5-7022-11ef-ab51-1cfd08767542#98f17c89-7025-11ef-ab51-1cfd08767542</t>
  </si>
  <si>
    <t>Кашпо "Манго", Серый №3 (2</t>
  </si>
  <si>
    <t>https://www.lavrpack.ru/local/templates/phoenix_v1/images_cache/thumbs/97d371942a0863b34adfa5a3bc5790e6.webp?v=1790788476</t>
  </si>
  <si>
    <t>71dd9ae5-7022-11ef-ab51-1cfd08767542#a0817183-7025-11ef-ab51-1cfd08767542</t>
  </si>
  <si>
    <t>Кашпо "Манго", Серый №4 (4</t>
  </si>
  <si>
    <t>https://www.lavrpack.ru/local/templates/phoenix_v1/images_cache/thumbs/56bbe92435164344226aae4f72234774.webp?v=1790788476</t>
  </si>
  <si>
    <t>71dd9ae5-7022-11ef-ab51-1cfd08767542#b81d5980-7025-11ef-ab51-1cfd08767542</t>
  </si>
  <si>
    <t>Кашпо "Манго", Серый №6 (8</t>
  </si>
  <si>
    <t>https://www.lavrpack.ru/local/templates/phoenix_v1/images_cache/thumbs/3c0e4d287bfc6b86f575a763ec9a0989.webp?v=1790788476</t>
  </si>
  <si>
    <t>71dd9ae5-7022-11ef-ab51-1cfd08767542#0f233cfa-7026-11ef-ab51-1cfd08767542</t>
  </si>
  <si>
    <t>Кашпо "Манго", Терракота №1</t>
  </si>
  <si>
    <t>https://www.lavrpack.ru/local/templates/phoenix_v1/images_cache/thumbs/5ebc63f6cde15ef4e55b2d5b40e16062.webp?v=1790788476</t>
  </si>
  <si>
    <t>71dd9ae5-7022-11ef-ab51-1cfd08767542#1974ea86-7026-11ef-ab51-1cfd08767542</t>
  </si>
  <si>
    <t>Кашпо "Манго", Терракота №3</t>
  </si>
  <si>
    <t>https://www.lavrpack.ru/local/templates/phoenix_v1/images_cache/thumbs/1860d6798fc09c8f0e8b3465ff6d0449.webp?v=1790788476</t>
  </si>
  <si>
    <t>71dd9ae5-7022-11ef-ab51-1cfd08767542#27b97ce8-7026-11ef-ab51-1cfd08767542</t>
  </si>
  <si>
    <t>Кашпо "Манго", Терракота №7</t>
  </si>
  <si>
    <t>https://www.lavrpack.ru/local/templates/phoenix_v1/images_cache/thumbs/adafd61761ae0d0e650dabe1119a41d9.webp?v=1790788476</t>
  </si>
  <si>
    <t>5f3e231e-37ca-11f0-ab41-22344d083d2c#8c6279af-37ca-11f0-ab41-22344d083d2c</t>
  </si>
  <si>
    <t>112888</t>
  </si>
  <si>
    <t>Кашпо "Мистер Крутой" (0</t>
  </si>
  <si>
    <t>Пунш (КШ-1857)</t>
  </si>
  <si>
    <t>6л),</t>
  </si>
  <si>
    <t>https://www.lavrpack.ru/local/templates/phoenix_v1/images_cache/thumbs/2316ce320835a45d69f0c26b3d8ded14.webp?v=1790828461</t>
  </si>
  <si>
    <t>5f3e231e-37ca-11f0-ab41-22344d083d2c#78bc5825-37ca-11f0-ab41-22344d083d2c</t>
  </si>
  <si>
    <t>Оливковый (КШ-1854)</t>
  </si>
  <si>
    <t>https://www.lavrpack.ru/local/templates/phoenix_v1/images_cache/thumbs/327634eaeb40b83c7a37958aae089d04.webp?v=1790828461</t>
  </si>
  <si>
    <t>5fbe2640-714a-11ed-bb4b-00e01a6800eb</t>
  </si>
  <si>
    <t>77451</t>
  </si>
  <si>
    <t>Кашпо "Модерн Максимум"</t>
  </si>
  <si>
    <t>(h 610), темно-коричневый (КШ-9527)</t>
  </si>
  <si>
    <t>15л</t>
  </si>
  <si>
    <t>https://www.lavrpack.ru/local/templates/phoenix_v1/images_cache/thumbs/4cae639efdd7bc12897eda46124b8bfc.webp?v=1790832077</t>
  </si>
  <si>
    <t>fed6c82f-7146-11ed-bb4b-00e01a6800eb</t>
  </si>
  <si>
    <t>77447</t>
  </si>
  <si>
    <t>(h 610), мокко (КШ-9530)</t>
  </si>
  <si>
    <t>https://www.lavrpack.ru/local/templates/phoenix_v1/images_cache/thumbs/0ac35a1ea0ecdeee22a1d36723fed254.webp?v=1790832077</t>
  </si>
  <si>
    <t>ae5e9a3d-714a-11ed-bb4b-00e01a6800eb</t>
  </si>
  <si>
    <t>77452</t>
  </si>
  <si>
    <t>Кашпо "Модерн Медиум"</t>
  </si>
  <si>
    <t>(h 360), антрацит (КШ-9538)</t>
  </si>
  <si>
    <t>https://www.lavrpack.ru/local/templates/phoenix_v1/images_cache/thumbs/218ac36bbf5036715d985e5d24ed758d.webp?v=1790832077</t>
  </si>
  <si>
    <t>8627f8b4-714b-11ed-bb4b-00e01a6800eb</t>
  </si>
  <si>
    <t>77456</t>
  </si>
  <si>
    <t>(h 360), серый жемчуг (КШ-9703)</t>
  </si>
  <si>
    <t>https://www.lavrpack.ru/local/templates/phoenix_v1/images_cache/thumbs/29bf6d37dded73030c0f3c07ff7e3941.webp?v=1790832077</t>
  </si>
  <si>
    <t>b0340727-714b-11ed-bb4b-00e01a6800eb</t>
  </si>
  <si>
    <t>77457</t>
  </si>
  <si>
    <t>(h 360), темно-коричневый (КШ-9533)</t>
  </si>
  <si>
    <t>https://www.lavrpack.ru/local/templates/phoenix_v1/images_cache/thumbs/329cb4a70325365a937762b48adf93e9.webp?v=1790832077</t>
  </si>
  <si>
    <t>0070499b-714c-11ed-bb4b-00e01a6800eb</t>
  </si>
  <si>
    <t>77459</t>
  </si>
  <si>
    <t>Кашпо "Модерн Мини"</t>
  </si>
  <si>
    <t>(h 250), белый (КШ-9543)</t>
  </si>
  <si>
    <t>8л</t>
  </si>
  <si>
    <t>https://www.lavrpack.ru/local/templates/phoenix_v1/images_cache/thumbs/b40456434946269429d323c8ae01919b.webp?v=1790832077</t>
  </si>
  <si>
    <t>1a6d8420-7151-11ed-bb4b-00e01a6800eb</t>
  </si>
  <si>
    <t>77465</t>
  </si>
  <si>
    <t>(h 250), темно коричневый (КШ-9539)</t>
  </si>
  <si>
    <t>https://www.lavrpack.ru/local/templates/phoenix_v1/images_cache/thumbs/0895321b86d78dc9098f59285763fcc0.webp?v=1790832077</t>
  </si>
  <si>
    <t>a8797a4f-197a-11ee-8f7e-00e01a6800eb</t>
  </si>
  <si>
    <t>103234</t>
  </si>
  <si>
    <t>(h 250), пыльная роза (КШ-4000)</t>
  </si>
  <si>
    <t>https://www.lavrpack.ru/local/templates/phoenix_v1/images_cache/thumbs/c610aafc878e936db04c737d3cd1e439.webp?v=1790828461</t>
  </si>
  <si>
    <t>e3bc1179-714b-11ed-bb4b-00e01a6800eb</t>
  </si>
  <si>
    <t>77458</t>
  </si>
  <si>
    <t>(h 250), антрацит (КШ-9544)</t>
  </si>
  <si>
    <t>https://www.lavrpack.ru/local/templates/phoenix_v1/images_cache/thumbs/d2dbda0de656382946d3cd5041ebc823.webp?v=1790832077</t>
  </si>
  <si>
    <t>dc9f2962-7150-11ed-bb4b-00e01a6800eb</t>
  </si>
  <si>
    <t>77463</t>
  </si>
  <si>
    <t>(h 250), пудровый (КШ-9540)</t>
  </si>
  <si>
    <t>https://www.lavrpack.ru/local/templates/phoenix_v1/images_cache/thumbs/917367a045ee70f6c020086480a183ad.webp?v=1790832077</t>
  </si>
  <si>
    <t>ad814ebc-714f-11ed-bb4b-00e01a6800eb</t>
  </si>
  <si>
    <t>77461</t>
  </si>
  <si>
    <t>(h 250), мокко (КШ-9542)</t>
  </si>
  <si>
    <t>https://www.lavrpack.ru/local/templates/phoenix_v1/images_cache/thumbs/16954be3bf0c5ab65a6a33875f6dfffd.webp?v=1790832077</t>
  </si>
  <si>
    <t>f5647af4-7150-11ed-bb4b-00e01a6800eb</t>
  </si>
  <si>
    <t>77464</t>
  </si>
  <si>
    <t>(h 250), серый жемчуг (КШ-9704)</t>
  </si>
  <si>
    <t>https://www.lavrpack.ru/local/templates/phoenix_v1/images_cache/thumbs/8a1a36887c73e5ee9a6b31708d7745f4.webp?v=1790832077</t>
  </si>
  <si>
    <t>33950e04-703d-11ef-ab51-1cfd08767542#450904e1-703d-11ef-ab51-1cfd08767542</t>
  </si>
  <si>
    <t>109499</t>
  </si>
  <si>
    <t>Кашпо "Пряности", Бежевый №2 (1</t>
  </si>
  <si>
    <t>https://www.lavrpack.ru/local/templates/phoenix_v1/images_cache/thumbs/14f627a89f6a4058aa9a565b07442d8e.webp?v=1790828461</t>
  </si>
  <si>
    <t>33950e04-703d-11ef-ab51-1cfd08767542#4bc72a6b-703d-11ef-ab51-1cfd08767542</t>
  </si>
  <si>
    <t>Кашпо "Пряности", Бежевый №3 (2</t>
  </si>
  <si>
    <t>https://www.lavrpack.ru/local/templates/phoenix_v1/images_cache/thumbs/e9698662612a0daf1b1923624ed0c35c.webp?v=1790828461</t>
  </si>
  <si>
    <t>33950e04-703d-11ef-ab51-1cfd08767542#5cfac266-703d-11ef-ab51-1cfd08767542</t>
  </si>
  <si>
    <t>Кашпо "Пряности", Белый №2 (1</t>
  </si>
  <si>
    <t>https://www.lavrpack.ru/local/templates/phoenix_v1/images_cache/thumbs/047d45dbab20648d2f9f9981836d994b.webp?v=1790828461</t>
  </si>
  <si>
    <t>33950e04-703d-11ef-ab51-1cfd08767542#5cfac276-703d-11ef-ab51-1cfd08767542</t>
  </si>
  <si>
    <t>Кашпо "Пряности", Белый №3 (2</t>
  </si>
  <si>
    <t>https://www.lavrpack.ru/local/templates/phoenix_v1/images_cache/thumbs/22910c22d06485b402e9d6de2397ee59.webp?v=1790788476</t>
  </si>
  <si>
    <t>33950e04-703d-11ef-ab51-1cfd08767542#6c5fd1b5-703d-11ef-ab51-1cfd08767542</t>
  </si>
  <si>
    <t>Кашпо "Пряности", Серый №3 (2</t>
  </si>
  <si>
    <t>https://www.lavrpack.ru/local/templates/phoenix_v1/images_cache/thumbs/99902ed95f23de2668ef6ef15ea0ee9b.webp?v=1790828461</t>
  </si>
  <si>
    <t>5f66fca0-703e-11ef-ab51-1cfd08767542#6c26ef21-703e-11ef-ab51-1cfd08767542</t>
  </si>
  <si>
    <t>109500</t>
  </si>
  <si>
    <t>Кашпо "Саванна", Бежевый №2 (1</t>
  </si>
  <si>
    <t>https://www.lavrpack.ru/local/templates/phoenix_v1/images_cache/thumbs/e3f6b8880c9cc6d5128f4e9148bdf221.webp?v=1790788476</t>
  </si>
  <si>
    <t>5f66fca0-703e-11ef-ab51-1cfd08767542#891436e7-703e-11ef-ab51-1cfd08767542</t>
  </si>
  <si>
    <t>Кашпо "Саванна", Бежевый №3 (2</t>
  </si>
  <si>
    <t>https://www.lavrpack.ru/local/templates/phoenix_v1/images_cache/thumbs/f3c729a32b638a0723e1e11c8d40f522.webp?v=1790788476</t>
  </si>
  <si>
    <t>5f66fca0-703e-11ef-ab51-1cfd08767542#90d8a0db-703e-11ef-ab51-1cfd08767542</t>
  </si>
  <si>
    <t>Кашпо "Саванна", Бежевый №4 (4л/21см)</t>
  </si>
  <si>
    <t>https://www.lavrpack.ru/local/templates/phoenix_v1/images_cache/thumbs/71fa2532070d96d2b5201015e09d2573.webp?v=1790788476</t>
  </si>
  <si>
    <t>5f66fca0-703e-11ef-ab51-1cfd08767542#9770a059-703e-11ef-ab51-1cfd08767542</t>
  </si>
  <si>
    <t>Кашпо "Саванна", Бежевый №6 (8л/25см)</t>
  </si>
  <si>
    <t>https://www.lavrpack.ru/local/templates/phoenix_v1/images_cache/thumbs/d45361051406552d0c2618046c702424.webp?v=1790788476</t>
  </si>
  <si>
    <t>5f66fca0-703e-11ef-ab51-1cfd08767542#a25fa812-703e-11ef-ab51-1cfd08767542</t>
  </si>
  <si>
    <t>Кашпо "Саванна", Белый №2 (1</t>
  </si>
  <si>
    <t>https://www.lavrpack.ru/local/templates/phoenix_v1/images_cache/thumbs/8dd5051c3d279d69d74c2e93b24860e6.webp?v=1790788476</t>
  </si>
  <si>
    <t>5f66fca0-703e-11ef-ab51-1cfd08767542#a8a43737-703e-11ef-ab51-1cfd08767542</t>
  </si>
  <si>
    <t>Кашпо "Саванна", Белый №3 (2</t>
  </si>
  <si>
    <t>https://www.lavrpack.ru/local/templates/phoenix_v1/images_cache/thumbs/58d2433c923eafaa65596b806d0df3d0.webp?v=1790788476</t>
  </si>
  <si>
    <t>5f66fca0-703e-11ef-ab51-1cfd08767542#b0f085d7-703e-11ef-ab51-1cfd08767542</t>
  </si>
  <si>
    <t>Кашпо "Саванна", Белый №4 (4л/21см)</t>
  </si>
  <si>
    <t>https://www.lavrpack.ru/local/templates/phoenix_v1/images_cache/thumbs/fb0c0c37185ec12d76dd1cb8109751ea.webp?v=1790788476</t>
  </si>
  <si>
    <t>5f66fca0-703e-11ef-ab51-1cfd08767542#b7de5ae4-703e-11ef-ab51-1cfd08767542</t>
  </si>
  <si>
    <t>Кашпо "Саванна", Белый №6 (8л/25см)</t>
  </si>
  <si>
    <t>https://www.lavrpack.ru/local/templates/phoenix_v1/images_cache/thumbs/2d56fe3f43a87e629d9096397416648d.webp?v=1790788476</t>
  </si>
  <si>
    <t>5f66fca0-703e-11ef-ab51-1cfd08767542#be60e79f-703e-11ef-ab51-1cfd08767542</t>
  </si>
  <si>
    <t>Кашпо "Саванна", Серый №2 (1</t>
  </si>
  <si>
    <t>https://www.lavrpack.ru/local/templates/phoenix_v1/images_cache/thumbs/529482bea357d7071449cf0229c3b630.webp?v=1790788476</t>
  </si>
  <si>
    <t>5f66fca0-703e-11ef-ab51-1cfd08767542#c7056d89-703e-11ef-ab51-1cfd08767542</t>
  </si>
  <si>
    <t>Кашпо "Саванна", Серый №3 (2</t>
  </si>
  <si>
    <t>https://www.lavrpack.ru/local/templates/phoenix_v1/images_cache/thumbs/a302392dfdcf8146f34c0c74b0915ff7.webp?v=1790788476</t>
  </si>
  <si>
    <t>5f66fca0-703e-11ef-ab51-1cfd08767542#cfa9f3ce-703e-11ef-ab51-1cfd08767542</t>
  </si>
  <si>
    <t>Кашпо "Саванна", Серый №4 (4л/21см)</t>
  </si>
  <si>
    <t>https://www.lavrpack.ru/local/templates/phoenix_v1/images_cache/thumbs/a8ca98de9f5469bcc0eabf02fd9bbc46.webp?v=1790788476</t>
  </si>
  <si>
    <t>5f66fca0-703e-11ef-ab51-1cfd08767542#cfa9f3de-703e-11ef-ab51-1cfd08767542</t>
  </si>
  <si>
    <t>Кашпо "Саванна", Серый №6 (8л/25см)</t>
  </si>
  <si>
    <t>https://www.lavrpack.ru/local/templates/phoenix_v1/images_cache/thumbs/7390d2df153625c0e28f7d08c2cd5169.webp?v=1790788476</t>
  </si>
  <si>
    <t>bc071cf7-7042-11ef-ab51-1cfd08767542#1870170f-70c7-11ef-ab51-1cfd08767542</t>
  </si>
  <si>
    <t>109503</t>
  </si>
  <si>
    <t>Кашпо "Терракота", Бук №3</t>
  </si>
  <si>
    <t>https://www.lavrpack.ru/local/templates/phoenix_v1/images_cache/thumbs/36cd212b10ebf278c8e6d78762189b08.webp?v=1790828461</t>
  </si>
  <si>
    <t>bc071cf7-7042-11ef-ab51-1cfd08767542#24a82426-70c7-11ef-ab51-1cfd08767542</t>
  </si>
  <si>
    <t>Кашпо "Терракота", Крокус №1</t>
  </si>
  <si>
    <t>https://www.lavrpack.ru/local/templates/phoenix_v1/images_cache/thumbs/f51999f50fb4da970931b8d05cd44bc6.webp?v=1790828461</t>
  </si>
  <si>
    <t>6a2769ef-70c8-11ef-ab51-1cfd08767542#804116ad-70c8-11ef-ab51-1cfd08767542</t>
  </si>
  <si>
    <t>109504</t>
  </si>
  <si>
    <t>Кашпо "Тринити", Серый цилиндр №2</t>
  </si>
  <si>
    <t>https://www.lavrpack.ru/local/templates/phoenix_v1/images_cache/thumbs/772967c34483c6602d7277df39355d91.webp?v=1790828461</t>
  </si>
  <si>
    <t>c336ab0b-37cc-11f0-ab41-22344d083d2c#35cb9f78-37cd-11f0-ab41-22344d083d2c</t>
  </si>
  <si>
    <t>112893</t>
  </si>
  <si>
    <t>Кашпо "Фиори" (0</t>
  </si>
  <si>
    <t>Фисташковый (КШ-0518)</t>
  </si>
  <si>
    <t>45л),</t>
  </si>
  <si>
    <t>https://www.lavrpack.ru/local/templates/phoenix_v1/images_cache/thumbs/532551d5cbd547aa8f79e88f7553bf95.webp?v=1790828461</t>
  </si>
  <si>
    <t>c336ab0b-37cc-11f0-ab41-22344d083d2c#02aa4020-37cd-11f0-ab41-22344d083d2c</t>
  </si>
  <si>
    <t>Мята (КШ-0519)</t>
  </si>
  <si>
    <t>https://www.lavrpack.ru/local/templates/phoenix_v1/images_cache/thumbs/8335d2cd29761047b7c2979488eaf02b.webp?v=1790828461</t>
  </si>
  <si>
    <t>c336ab0b-37cc-11f0-ab41-22344d083d2c#0fce0b4d-37cd-11f0-ab41-22344d083d2c</t>
  </si>
  <si>
    <t>Пудровый (КШ-0511)</t>
  </si>
  <si>
    <t>https://www.lavrpack.ru/local/templates/phoenix_v1/images_cache/thumbs/2bba7d47aa12cf9a43a510560d1c984f.webp?v=1790828461</t>
  </si>
  <si>
    <t>c336ab0b-37cc-11f0-ab41-22344d083d2c#1c065125-37cd-11f0-ab41-22344d083d2c</t>
  </si>
  <si>
    <t>Серый жемчуг (КШ-0514)</t>
  </si>
  <si>
    <t>https://www.lavrpack.ru/local/templates/phoenix_v1/images_cache/thumbs/2e8c5ba302733c130e8bc92b4b88558f.webp?v=1790828461</t>
  </si>
  <si>
    <t>c336ab0b-37cc-11f0-ab41-22344d083d2c#e25f9642-37cc-11f0-ab41-22344d083d2c</t>
  </si>
  <si>
    <t>Бежево-розовый (КШ-0543)</t>
  </si>
  <si>
    <t>https://www.lavrpack.ru/local/templates/phoenix_v1/images_cache/thumbs/15a16ce0b301c143b6739078fa152176.webp?v=1790828461</t>
  </si>
  <si>
    <t>c336ab0b-37cc-11f0-ab41-22344d083d2c#fc3d22fb-37cc-11f0-ab41-22344d083d2c</t>
  </si>
  <si>
    <t>Кремовый (КШ-0544)</t>
  </si>
  <si>
    <t>https://www.lavrpack.ru/local/templates/phoenix_v1/images_cache/thumbs/e8b5a7372a83cba4483a335c81aa1332.webp?v=1790828461</t>
  </si>
  <si>
    <t>c336ab0b-37cc-11f0-ab41-22344d083d2c#292b4110-37cd-11f0-ab41-22344d083d2c</t>
  </si>
  <si>
    <t>Трюфель (КШ-0516)</t>
  </si>
  <si>
    <t>https://www.lavrpack.ru/local/templates/phoenix_v1/images_cache/thumbs/1193452c98ee90cb250a8d838ec385c9.webp?v=1790828461</t>
  </si>
  <si>
    <t>d7ae71d9-37ce-11f0-ab41-22344d083d2c#feaeb976-37ce-11f0-ab41-22344d083d2c</t>
  </si>
  <si>
    <t>112899</t>
  </si>
  <si>
    <t>Кашпо "Фиори" набор</t>
  </si>
  <si>
    <t>Пудровый (КШ-0521)</t>
  </si>
  <si>
    <t>3 шт,</t>
  </si>
  <si>
    <t>https://www.lavrpack.ru/local/templates/phoenix_v1/images_cache/thumbs/016738e53d1a967b799edf9cc6008061.webp?v=1790828461</t>
  </si>
  <si>
    <t>924fefbd-7165-11ed-bb4b-00e01a6800eb</t>
  </si>
  <si>
    <t>77485</t>
  </si>
  <si>
    <t>Кашпо "Фэшн"</t>
  </si>
  <si>
    <t>мокко (КШ-9444)</t>
  </si>
  <si>
    <t>3,5л.,</t>
  </si>
  <si>
    <t>https://www.lavrpack.ru/local/templates/phoenix_v1/images_cache/thumbs/f6dd20d48b733ff6cbc128e861296504.webp?v=1790832077</t>
  </si>
  <si>
    <t>14f04ac5-70c9-11ef-ab51-1cfd08767542#2b517d0b-70c9-11ef-ab51-1cfd08767542</t>
  </si>
  <si>
    <t>109505</t>
  </si>
  <si>
    <t>Кашпо "Халва", Бежевый №2</t>
  </si>
  <si>
    <t>https://www.lavrpack.ru/local/templates/phoenix_v1/images_cache/thumbs/e4c46480242a586c14f102aabe51235d.webp?v=1790788476</t>
  </si>
  <si>
    <t>14f04ac5-70c9-11ef-ab51-1cfd08767542#68bf922a-70c9-11ef-ab51-1cfd08767542</t>
  </si>
  <si>
    <t>Кашпо "Халва", Белый №3</t>
  </si>
  <si>
    <t>https://www.lavrpack.ru/local/templates/phoenix_v1/images_cache/thumbs/33fd023ae3e3f46a118790f766514f3a.webp?v=1790828461</t>
  </si>
  <si>
    <t>14f04ac5-70c9-11ef-ab51-1cfd08767542#88d051ac-70c9-11ef-ab51-1cfd08767542</t>
  </si>
  <si>
    <t>Кашпо "Халва", Белый №4</t>
  </si>
  <si>
    <t>https://www.lavrpack.ru/local/templates/phoenix_v1/images_cache/thumbs/cad940b39d6a46e835580d65ad48edc3.webp?v=1790828461</t>
  </si>
  <si>
    <t>14f04ac5-70c9-11ef-ab51-1cfd08767542#a409499b-70c9-11ef-ab51-1cfd08767542</t>
  </si>
  <si>
    <t>Кашпо "Халва", Светло-зеленый №1</t>
  </si>
  <si>
    <t>https://www.lavrpack.ru/local/templates/phoenix_v1/images_cache/thumbs/e6ea1889407e2c29c1ed6d63501e9853.webp?v=1790828461</t>
  </si>
  <si>
    <t>14f04ac5-70c9-11ef-ab51-1cfd08767542#c5cc19e7-70c9-11ef-ab51-1cfd08767542</t>
  </si>
  <si>
    <t>Кашпо "Халва", Сиреневый №1</t>
  </si>
  <si>
    <t>https://www.lavrpack.ru/local/templates/phoenix_v1/images_cache/thumbs/6a3288f2569f47aceeceae6159657318.webp?v=1790828461</t>
  </si>
  <si>
    <t>14f04ac5-70c9-11ef-ab51-1cfd08767542#c5cc19f7-70c9-11ef-ab51-1cfd08767542</t>
  </si>
  <si>
    <t>Кашпо "Халва", Сиреневый №2</t>
  </si>
  <si>
    <t>https://www.lavrpack.ru/local/templates/phoenix_v1/images_cache/thumbs/e61749c1c90bed0c0444b2cae73d63c9.webp?v=1790828461</t>
  </si>
  <si>
    <t>14f04ac5-70c9-11ef-ab51-1cfd08767542#cd0172e5-70c9-11ef-ab51-1cfd08767542</t>
  </si>
  <si>
    <t>Кашпо "Халва", Сиреневый №3</t>
  </si>
  <si>
    <t>https://www.lavrpack.ru/local/templates/phoenix_v1/images_cache/thumbs/f308a423675623ccc8a7bcfb389aa167.webp?v=1790828461</t>
  </si>
  <si>
    <t>0c009b9b-70cb-11ef-ab51-1cfd08767542#2274e198-70cb-11ef-ab51-1cfd08767542</t>
  </si>
  <si>
    <t>109506</t>
  </si>
  <si>
    <t>Кашпо "Хоккайдо", Белый №1</t>
  </si>
  <si>
    <t>https://www.lavrpack.ru/local/templates/phoenix_v1/images_cache/thumbs/ef456da1b54b4b2a3ddd1c3cc9c2b596.webp?v=1790828461</t>
  </si>
  <si>
    <t>0c009b9b-70cb-11ef-ab51-1cfd08767542#298b3e9c-70cb-11ef-ab51-1cfd08767542</t>
  </si>
  <si>
    <t>Кашпо "Хоккайдо", Белый №2</t>
  </si>
  <si>
    <t>https://www.lavrpack.ru/local/templates/phoenix_v1/images_cache/thumbs/5f775d70943638209b2d59d156e3bb0f.webp?v=1790788476</t>
  </si>
  <si>
    <t>0c009b9b-70cb-11ef-ab51-1cfd08767542#3fbcc2ab-70cb-11ef-ab51-1cfd08767542</t>
  </si>
  <si>
    <t>Кашпо "Хоккайдо", Серый №1</t>
  </si>
  <si>
    <t>https://www.lavrpack.ru/local/templates/phoenix_v1/images_cache/thumbs/5edaf75194b5f4e65663f2b4b39b48c7.webp?v=1790788476</t>
  </si>
  <si>
    <t>0c009b9b-70cb-11ef-ab51-1cfd08767542#4673c133-70cb-11ef-ab51-1cfd08767542</t>
  </si>
  <si>
    <t>Кашпо "Хоккайдо", Серый №2</t>
  </si>
  <si>
    <t>https://www.lavrpack.ru/local/templates/phoenix_v1/images_cache/thumbs/8cc5248b2955aad8ad77a6cd3a4c4604.webp?v=1790788476</t>
  </si>
  <si>
    <t>0c009b9b-70cb-11ef-ab51-1cfd08767542#4c948d8c-70cb-11ef-ab51-1cfd08767542</t>
  </si>
  <si>
    <t>Кашпо "Хоккайдо", Серый №3</t>
  </si>
  <si>
    <t>https://www.lavrpack.ru/local/templates/phoenix_v1/images_cache/thumbs/4fb678fb799c71cbd82d82a3a494c92f.webp?v=1790828461</t>
  </si>
  <si>
    <t>b80b8d36-8fa7-11f0-ab48-22344d083d2c#ecefede8-8fa7-11f0-ab48-22344d083d2c</t>
  </si>
  <si>
    <t>114782</t>
  </si>
  <si>
    <t>Кашпо "Fleurs"</t>
  </si>
  <si>
    <t>Пурпурный (КШ-3730)</t>
  </si>
  <si>
    <t>https://www.lavrpack.ru/local/templates/phoenix_v1/images_cache/thumbs/f0bb083dfecb9455b4509183b376ec77.webp?v=1790828461</t>
  </si>
  <si>
    <t>e0761ea9-e8dc-11ed-8488-00e01a6800eb</t>
  </si>
  <si>
    <t>102401</t>
  </si>
  <si>
    <t>Кашпо "KWADRAT" d8*8 h7см. (микс)</t>
  </si>
  <si>
    <t>https://www.lavrpack.ru/local/templates/phoenix_v1/images_cache/thumbs/b48cfde95acd76e370a0ecbfa6f84db1.webp?v=1790828461</t>
  </si>
  <si>
    <t>277c0dd0-7152-11ed-bb4b-00e01a6800eb</t>
  </si>
  <si>
    <t>77468</t>
  </si>
  <si>
    <t>Кашпо "Leaves"</t>
  </si>
  <si>
    <t>бордо/белый (КШ-9575)</t>
  </si>
  <si>
    <t>2,5л</t>
  </si>
  <si>
    <t>https://www.lavrpack.ru/local/templates/phoenix_v1/images_cache/thumbs/e3d4a0fe63665fd29d19b1fb0a3d0d3c.webp?v=1790788476</t>
  </si>
  <si>
    <t>94697ee1-1985-11ee-8f7e-00e01a6800eb#9cbbee76-1985-11ee-8f7e-00e01a6800eb</t>
  </si>
  <si>
    <t>103243</t>
  </si>
  <si>
    <t>Кашпо Декор "Кашемир" (5л.), Белый</t>
  </si>
  <si>
    <t>https://www.lavrpack.ru/local/templates/phoenix_v1/images_cache/thumbs/0bc4a16938513a95b6e1b3788c7720c4.webp?v=1790788476</t>
  </si>
  <si>
    <t>ed5ed2d5-37c7-11f0-ab41-22344d083d2c#0ea28bfc-37c8-11f0-ab41-22344d083d2c</t>
  </si>
  <si>
    <t>112885</t>
  </si>
  <si>
    <t>Кашпо квадрат "La Decoro" максимум (34</t>
  </si>
  <si>
    <t>Пудровый (КШ-2690)</t>
  </si>
  <si>
    <t>https://www.lavrpack.ru/local/templates/phoenix_v1/images_cache/thumbs/1045f3d5b97b0195552746eac03c7dd7.webp?v=1790828461</t>
  </si>
  <si>
    <t>c3bf707e-64fa-11ef-ab51-1cfd08767542#d58b972b-64fa-11ef-ab51-1cfd08767542</t>
  </si>
  <si>
    <t>109140</t>
  </si>
  <si>
    <t>Кашпо керамическое, D13,5xH15</t>
  </si>
  <si>
    <t>(серый)</t>
  </si>
  <si>
    <t>5см</t>
  </si>
  <si>
    <t>https://www.lavrpack.ru/local/templates/phoenix_v1/images_cache/thumbs/4fe0ac5b67b60fc724d990552e929b62.webp?v=1790828461</t>
  </si>
  <si>
    <t>bd3495de-8fa5-11f0-ab48-22344d083d2c#0bd93c0a-8fa6-11f0-ab48-22344d083d2c</t>
  </si>
  <si>
    <t>114781</t>
  </si>
  <si>
    <t>Кашпо на ножках "La Decoro"</t>
  </si>
  <si>
    <t>Пудровый (КШ-2493)</t>
  </si>
  <si>
    <t>https://www.lavrpack.ru/local/templates/phoenix_v1/images_cache/thumbs/da390983fc26e52ea23c1550963c3771.webp?v=1790828461</t>
  </si>
  <si>
    <t>bd3495de-8fa5-11f0-ab48-22344d083d2c#18406758-8fa6-11f0-ab48-22344d083d2c</t>
  </si>
  <si>
    <t>Серый жемчуг (КШ-2494)</t>
  </si>
  <si>
    <t>https://www.lavrpack.ru/local/templates/phoenix_v1/images_cache/thumbs/d7d93061db6048ca7c65aaa6d664f20e.webp?v=1790828461</t>
  </si>
  <si>
    <t>bd3495de-8fa5-11f0-ab48-22344d083d2c#eb0a81f9-8fa5-11f0-ab48-22344d083d2c</t>
  </si>
  <si>
    <t>Белый (КШ-2491)</t>
  </si>
  <si>
    <t>https://www.lavrpack.ru/local/templates/phoenix_v1/images_cache/thumbs/7309ad2148ce17b8ed4781e9723bdc11.webp?v=1790788476</t>
  </si>
  <si>
    <t>bd3495de-8fa5-11f0-ab48-22344d083d2c#2446b9b1-8fa6-11f0-ab48-22344d083d2c</t>
  </si>
  <si>
    <t>Теплая хвоя (КШ-2495)</t>
  </si>
  <si>
    <t>https://www.lavrpack.ru/local/templates/phoenix_v1/images_cache/thumbs/04ae783fae08173b1ab0105d47323d12.webp?v=1790828461</t>
  </si>
  <si>
    <t>bd3495de-8fa5-11f0-ab48-22344d083d2c#f7f50cbc-8fa5-11f0-ab48-22344d083d2c</t>
  </si>
  <si>
    <t>Латте (КШ-2492)</t>
  </si>
  <si>
    <t>https://www.lavrpack.ru/local/templates/phoenix_v1/images_cache/thumbs/8cc4cf806e25bb12885dbf55bd60baa4.webp?v=1790828461</t>
  </si>
  <si>
    <t>bd3495de-8fa5-11f0-ab48-22344d083d2c#d7e77dd0-8fa5-11f0-ab48-22344d083d2c</t>
  </si>
  <si>
    <t>Антрацит (КШ-2490)</t>
  </si>
  <si>
    <t>https://www.lavrpack.ru/local/templates/phoenix_v1/images_cache/thumbs/97d6453fe54a25df6a4ae74d07082b28.webp?v=1790828461</t>
  </si>
  <si>
    <t>8b052f8e-8fb0-11f0-ab48-22344d083d2c#a45cac23-8fb0-11f0-ab48-22344d083d2c</t>
  </si>
  <si>
    <t>114784</t>
  </si>
  <si>
    <t>Кашпо электронное "Умка"</t>
  </si>
  <si>
    <t>Графитовый (КШ-4361)</t>
  </si>
  <si>
    <t>0,4л,</t>
  </si>
  <si>
    <t>https://www.lavrpack.ru/local/templates/phoenix_v1/images_cache/thumbs/a70ae83046b5df57fb6f02e38f5a9d0c.webp?v=1790828461</t>
  </si>
  <si>
    <t>8b052f8e-8fb0-11f0-ab48-22344d083d2c#97d97af4-8fb0-11f0-ab48-22344d083d2c</t>
  </si>
  <si>
    <t>Белый (КШ-3984)</t>
  </si>
  <si>
    <t>https://www.lavrpack.ru/local/templates/phoenix_v1/images_cache/thumbs/a58a62650b21d8d4214b19fde3f436cc.webp?v=1790788476</t>
  </si>
  <si>
    <t>e74440a3-338c-11ef-843e-00e01a6800eb#f435bc30-338c-11ef-843e-00e01a6800eb</t>
  </si>
  <si>
    <t>108285</t>
  </si>
  <si>
    <t>Кашпо PALMÓWKA IRYS D21*H26</t>
  </si>
  <si>
    <t>8л, Графит</t>
  </si>
  <si>
    <t>8см</t>
  </si>
  <si>
    <t>https://www.lavrpack.ru/local/templates/phoenix_v1/images_cache/thumbs/de461a75c8a4bd15780dc62166d09199.webp?v=1790828461</t>
  </si>
  <si>
    <t>e74440a3-338c-11ef-843e-00e01a6800eb#ee0467aa-338c-11ef-843e-00e01a6800eb</t>
  </si>
  <si>
    <t>8л, Белый</t>
  </si>
  <si>
    <t>https://www.lavrpack.ru/local/templates/phoenix_v1/images_cache/thumbs/6e43048e99c79fa5f4ca8736bb2ae770.webp?v=1790788476</t>
  </si>
  <si>
    <t>e74440a3-338c-11ef-843e-00e01a6800eb#ee0467ba-338c-11ef-843e-00e01a6800eb</t>
  </si>
  <si>
    <t>8л, Терра</t>
  </si>
  <si>
    <t>https://www.lavrpack.ru/local/templates/phoenix_v1/images_cache/thumbs/34cb5c903f6d8f3429e34a8283849b60.webp?v=1790828461</t>
  </si>
  <si>
    <t>7ed3e0c2-338c-11ef-843e-00e01a6800eb#8b935f44-338c-11ef-843e-00e01a6800eb</t>
  </si>
  <si>
    <t>108284</t>
  </si>
  <si>
    <t>Кашпо PALMÓWKA IRYS D24*H31</t>
  </si>
  <si>
    <t>14л, Графит</t>
  </si>
  <si>
    <t>https://www.lavrpack.ru/local/templates/phoenix_v1/images_cache/thumbs/c1e97a673e05d4c9df089cd8a77a3dc9.webp?v=1790828461</t>
  </si>
  <si>
    <t>7ed3e0c2-338c-11ef-843e-00e01a6800eb#933ccd17-338c-11ef-843e-00e01a6800eb</t>
  </si>
  <si>
    <t>14л, Терра</t>
  </si>
  <si>
    <t>https://www.lavrpack.ru/local/templates/phoenix_v1/images_cache/thumbs/bdcbc2aeca3661b1147d14c52ba5ae3d.webp?v=1790788476</t>
  </si>
  <si>
    <t>7ed3e0c2-338c-11ef-843e-00e01a6800eb#8502d3c3-338c-11ef-843e-00e01a6800eb</t>
  </si>
  <si>
    <t>14л, Белый</t>
  </si>
  <si>
    <t>https://www.lavrpack.ru/local/templates/phoenix_v1/images_cache/thumbs/85d33f24250084215065a7eae5d857e3.webp?v=1790828461</t>
  </si>
  <si>
    <t>f967df71-338b-11ef-843e-00e01a6800eb#18af747c-338c-11ef-843e-00e01a6800eb</t>
  </si>
  <si>
    <t>108282</t>
  </si>
  <si>
    <t>Кашпо PALMÓWKA IRYS D29*H36</t>
  </si>
  <si>
    <t>23л, Графит</t>
  </si>
  <si>
    <t>7см</t>
  </si>
  <si>
    <t>https://www.lavrpack.ru/local/templates/phoenix_v1/images_cache/thumbs/a2625cdc48c295e12e937597a8aaef77.webp?v=1790828461</t>
  </si>
  <si>
    <t>f967df71-338b-11ef-843e-00e01a6800eb#121ee8fa-338c-11ef-843e-00e01a6800eb</t>
  </si>
  <si>
    <t>23л, Белый</t>
  </si>
  <si>
    <t>https://www.lavrpack.ru/local/templates/phoenix_v1/images_cache/thumbs/c3bee848cc6f4d258110c0ada8818b01.webp?v=1790828461</t>
  </si>
  <si>
    <t>f967df71-338b-11ef-843e-00e01a6800eb#1ee0c8f2-338c-11ef-843e-00e01a6800eb</t>
  </si>
  <si>
    <t>23л, Терра</t>
  </si>
  <si>
    <t>https://www.lavrpack.ru/local/templates/phoenix_v1/images_cache/thumbs/732efabd083a70fea272997d907626ea.webp?v=1790828461</t>
  </si>
  <si>
    <t>35d30f1f-338b-11ef-843e-00e01a6800eb#52932dee-338b-11ef-843e-00e01a6800eb</t>
  </si>
  <si>
    <t>108280</t>
  </si>
  <si>
    <t>Кашпо PALMÓWKA IRYS D34*H42см</t>
  </si>
  <si>
    <t>Графит</t>
  </si>
  <si>
    <t>31л,</t>
  </si>
  <si>
    <t>https://www.lavrpack.ru/local/templates/phoenix_v1/images_cache/thumbs/367372f5b2d3733f92c5e9fb7ee75b64.webp?v=1790788476</t>
  </si>
  <si>
    <t>35d30f1f-338b-11ef-843e-00e01a6800eb#4c4a0bb5-338b-11ef-843e-00e01a6800eb</t>
  </si>
  <si>
    <t>https://www.lavrpack.ru/local/templates/phoenix_v1/images_cache/thumbs/b4e0c56c817fa296f3922f231ec935ad.webp?v=1790828461</t>
  </si>
  <si>
    <t>35d30f1f-338b-11ef-843e-00e01a6800eb#6e30e4ec-338b-11ef-843e-00e01a6800eb</t>
  </si>
  <si>
    <t>Терра</t>
  </si>
  <si>
    <t>https://www.lavrpack.ru/local/templates/phoenix_v1/images_cache/thumbs/37c182f016da45eb10a96ea114d1ef08.webp?v=1790828461</t>
  </si>
  <si>
    <t>f4182574-fc24-11ec-8757-00e01a6800eb</t>
  </si>
  <si>
    <t>72203</t>
  </si>
  <si>
    <t>Кашпо(З)</t>
  </si>
  <si>
    <t>"Забор"(натуральный) 23×Н10/14,5см</t>
  </si>
  <si>
    <t>e22f679c-fc24-11ec-8757-00e01a6800eb</t>
  </si>
  <si>
    <t>72202</t>
  </si>
  <si>
    <t>"Забор"(цветной) 23×Н10/14,5см</t>
  </si>
  <si>
    <t>https://www.lavrpack.ru/local/templates/phoenix_v1/images_cache/thumbs/2d47e0509dab8399c6b7ff7db7793b07.webp?v=1790788476</t>
  </si>
  <si>
    <t>465fefc6-647a-11ef-ab51-1cfd08767542#6a6abc79-647a-11ef-ab51-1cfd08767542</t>
  </si>
  <si>
    <t>109136</t>
  </si>
  <si>
    <t>Цв. горшок с поддоном Унжа (бетон), D17,5xH15см</t>
  </si>
  <si>
    <t>2,15л</t>
  </si>
  <si>
    <t>https://www.lavrpack.ru/local/templates/phoenix_v1/images_cache/thumbs/29e071781772ee60c4fd083096ac4538.webp?v=1790828461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</si>
  <si>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</si>
  <si>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</si>
  <si>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</si>
  <si>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</si>
  <si>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</si>
  <si>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</si>
  <si>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</si>
  <si>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</si>
  <si>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</si>
  <si>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</si>
  <si>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</si>
  <si>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</si>
  <si>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20:34</t>
  </si>
  <si>
    <t>Тип цены: опт</t>
  </si>
  <si>
    <t>Раздел: Кашпо, вазоны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</si>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</sst>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16a104e7269a89cca935e92c31bb4f6e.jpg"/><Relationship Id="rId3" Type="http://schemas.openxmlformats.org/officeDocument/2006/relationships/image" Target="../media/925896d3e14a89f55273a81c1afd95b5.jpg"/><Relationship Id="rId4" Type="http://schemas.openxmlformats.org/officeDocument/2006/relationships/image" Target="../media/96d505f99a39ee93fb46153a8ea36fb9.jpg"/><Relationship Id="rId5" Type="http://schemas.openxmlformats.org/officeDocument/2006/relationships/image" Target="../media/57bafdc55857b80a6d92353c49e16053.jpg"/><Relationship Id="rId6" Type="http://schemas.openxmlformats.org/officeDocument/2006/relationships/image" Target="../media/95d9619d68d7a11d08c56d3b8b052a62.jpg"/><Relationship Id="rId7" Type="http://schemas.openxmlformats.org/officeDocument/2006/relationships/image" Target="../media/e10aec6022b7cbdd2bcecf5ca66f66e5.jpg"/><Relationship Id="rId8" Type="http://schemas.openxmlformats.org/officeDocument/2006/relationships/image" Target="../media/4d5aa86aac927dc6111cba835f3cdf1f.jpg"/><Relationship Id="rId9" Type="http://schemas.openxmlformats.org/officeDocument/2006/relationships/image" Target="../media/8d6b91be7994a7b1641ffd8b594cd299.jpg"/><Relationship Id="rId10" Type="http://schemas.openxmlformats.org/officeDocument/2006/relationships/image" Target="../media/09b8dee0bd3ae713db88b46f25716b43.jpg"/><Relationship Id="rId11" Type="http://schemas.openxmlformats.org/officeDocument/2006/relationships/image" Target="../media/6ade3e914ea3e1af317ca00bc4369876.jpg"/><Relationship Id="rId12" Type="http://schemas.openxmlformats.org/officeDocument/2006/relationships/image" Target="../media/d159646d0045ea70535e12b9cf1ae1f2.jpg"/><Relationship Id="rId13" Type="http://schemas.openxmlformats.org/officeDocument/2006/relationships/image" Target="../media/882f809a5c9e831920cf6394b507566a.jpg"/><Relationship Id="rId14" Type="http://schemas.openxmlformats.org/officeDocument/2006/relationships/image" Target="../media/ca12cab69cfaa28673743bcc3eef8f8f.jpg"/><Relationship Id="rId15" Type="http://schemas.openxmlformats.org/officeDocument/2006/relationships/image" Target="../media/b01728388fb690367c34cbd97a23cc48.jpg"/><Relationship Id="rId16" Type="http://schemas.openxmlformats.org/officeDocument/2006/relationships/image" Target="../media/4a1ca7ba36e179c0e0eff86f7a9b3052.jpg"/><Relationship Id="rId17" Type="http://schemas.openxmlformats.org/officeDocument/2006/relationships/image" Target="../media/fbfb641728b46a95ea04ac0fd9b8c0c7.jpg"/><Relationship Id="rId18" Type="http://schemas.openxmlformats.org/officeDocument/2006/relationships/image" Target="../media/0cfa1acaa9905f6095f7a95ba97c419c.jpg"/><Relationship Id="rId19" Type="http://schemas.openxmlformats.org/officeDocument/2006/relationships/image" Target="../media/16f406f6bfd0cda870aea6d05fd16107.jpg"/><Relationship Id="rId20" Type="http://schemas.openxmlformats.org/officeDocument/2006/relationships/image" Target="../media/d71d3e38c1dec18e06b160d44a110863.jpg"/><Relationship Id="rId21" Type="http://schemas.openxmlformats.org/officeDocument/2006/relationships/image" Target="../media/908a94e8c732ceb77521ddfd7fb5ba35.jpg"/><Relationship Id="rId22" Type="http://schemas.openxmlformats.org/officeDocument/2006/relationships/image" Target="../media/3f9c79103e97d62913982632bc718a8c.jpg"/><Relationship Id="rId23" Type="http://schemas.openxmlformats.org/officeDocument/2006/relationships/image" Target="../media/67895ee315f8696cf4d12fd560f41125.jpg"/><Relationship Id="rId24" Type="http://schemas.openxmlformats.org/officeDocument/2006/relationships/image" Target="../media/1259aad9128e91f1a4657fd2df844bd5.jpg"/><Relationship Id="rId25" Type="http://schemas.openxmlformats.org/officeDocument/2006/relationships/image" Target="../media/5596e84fa1e5afb0f98174cfcde696a1.jpg"/><Relationship Id="rId26" Type="http://schemas.openxmlformats.org/officeDocument/2006/relationships/image" Target="../media/7047ac3ee69bd3ca6e83ce22788a3ceb.jpg"/><Relationship Id="rId27" Type="http://schemas.openxmlformats.org/officeDocument/2006/relationships/image" Target="../media/279b5ad237dd159d509b1324a8ddd595.jpg"/><Relationship Id="rId28" Type="http://schemas.openxmlformats.org/officeDocument/2006/relationships/image" Target="../media/6790c1614f4cf8c20540f394e2120c0b.jpg"/><Relationship Id="rId29" Type="http://schemas.openxmlformats.org/officeDocument/2006/relationships/image" Target="../media/bc3afeb5007777bb7bf2f905fa1c0c9e.jpg"/><Relationship Id="rId30" Type="http://schemas.openxmlformats.org/officeDocument/2006/relationships/image" Target="../media/9f884fbd8807d60308a585874b659e6f.jpg"/><Relationship Id="rId31" Type="http://schemas.openxmlformats.org/officeDocument/2006/relationships/image" Target="../media/58a90b24308075730d0f5f5082ec1812.jpg"/><Relationship Id="rId32" Type="http://schemas.openxmlformats.org/officeDocument/2006/relationships/image" Target="../media/79f37b110ecd69ec42114108a8861c5a.jpg"/><Relationship Id="rId33" Type="http://schemas.openxmlformats.org/officeDocument/2006/relationships/image" Target="../media/82ca6f9079a8dc07b183b4e772d2a740.jpg"/><Relationship Id="rId34" Type="http://schemas.openxmlformats.org/officeDocument/2006/relationships/image" Target="../media/d98880ea0933081f8e6150d39df4660b.jpg"/><Relationship Id="rId35" Type="http://schemas.openxmlformats.org/officeDocument/2006/relationships/image" Target="../media/d3da2be2af04e9fb542c2c99614b83be.jpg"/><Relationship Id="rId36" Type="http://schemas.openxmlformats.org/officeDocument/2006/relationships/image" Target="../media/618b1d2c7db61c29d3e29f1959b83744.jpg"/><Relationship Id="rId37" Type="http://schemas.openxmlformats.org/officeDocument/2006/relationships/image" Target="../media/abb0a3bf248ce93f91eea6270da3bc7f.jpg"/><Relationship Id="rId38" Type="http://schemas.openxmlformats.org/officeDocument/2006/relationships/image" Target="../media/2cea2f24298ef8041e6aac87b73551e4.jpg"/><Relationship Id="rId39" Type="http://schemas.openxmlformats.org/officeDocument/2006/relationships/image" Target="../media/ea351c26cac8d090c10d2711f4c2cae6.jpg"/><Relationship Id="rId40" Type="http://schemas.openxmlformats.org/officeDocument/2006/relationships/image" Target="../media/68a39d329f7994400367b38c7b4863e5.jpg"/><Relationship Id="rId41" Type="http://schemas.openxmlformats.org/officeDocument/2006/relationships/image" Target="../media/14421be1101002bce249fec7210b239a.jpg"/><Relationship Id="rId42" Type="http://schemas.openxmlformats.org/officeDocument/2006/relationships/image" Target="../media/42c89569baa9dacfac4a76640d672f9e.jpg"/><Relationship Id="rId43" Type="http://schemas.openxmlformats.org/officeDocument/2006/relationships/image" Target="../media/6d5ce3741f087877c8b69ae735716fc9.jpg"/><Relationship Id="rId44" Type="http://schemas.openxmlformats.org/officeDocument/2006/relationships/image" Target="../media/6d5ce3741f087877c8b69ae735716fc9.jpg"/><Relationship Id="rId45" Type="http://schemas.openxmlformats.org/officeDocument/2006/relationships/image" Target="../media/6d5ce3741f087877c8b69ae735716fc9.jpg"/><Relationship Id="rId46" Type="http://schemas.openxmlformats.org/officeDocument/2006/relationships/image" Target="../media/02d6f63ffe1846e80f76a407038bbac3.jpg"/><Relationship Id="rId47" Type="http://schemas.openxmlformats.org/officeDocument/2006/relationships/image" Target="../media/72a225a20e21bf39afb914f22ed1e209.jpg"/><Relationship Id="rId48" Type="http://schemas.openxmlformats.org/officeDocument/2006/relationships/image" Target="../media/446cb00c76ae716232416bfcaee64229.jpg"/><Relationship Id="rId49" Type="http://schemas.openxmlformats.org/officeDocument/2006/relationships/image" Target="../media/eb6b1f98f0ed5cb54589e01fda4b82ea.jpg"/><Relationship Id="rId50" Type="http://schemas.openxmlformats.org/officeDocument/2006/relationships/image" Target="../media/386c355fe4dde1e3bffd67d0cefac5eb.jpg"/><Relationship Id="rId51" Type="http://schemas.openxmlformats.org/officeDocument/2006/relationships/image" Target="../media/48850334aefa78cf3fdd406f44d67c36.jpg"/><Relationship Id="rId52" Type="http://schemas.openxmlformats.org/officeDocument/2006/relationships/image" Target="../media/8d9423b7f9b8f3d729aecfc5cd9cb1a7.jpg"/><Relationship Id="rId53" Type="http://schemas.openxmlformats.org/officeDocument/2006/relationships/image" Target="../media/3125357cd581e2530b4346accc1cae89.jpg"/><Relationship Id="rId54" Type="http://schemas.openxmlformats.org/officeDocument/2006/relationships/image" Target="../media/94b98ede49c0df6856644bab9e60a6ec.jpg"/><Relationship Id="rId55" Type="http://schemas.openxmlformats.org/officeDocument/2006/relationships/image" Target="../media/6e3d487185cb37e5307b21aecbaa606d.jpg"/><Relationship Id="rId56" Type="http://schemas.openxmlformats.org/officeDocument/2006/relationships/image" Target="../media/e453924a114be78ffb6f8abf153f69af.jpg"/><Relationship Id="rId57" Type="http://schemas.openxmlformats.org/officeDocument/2006/relationships/image" Target="../media/a07ac4184242be82bcb84bbebd19741d.jpg"/><Relationship Id="rId58" Type="http://schemas.openxmlformats.org/officeDocument/2006/relationships/image" Target="../media/448ff784dd2809cc7c145ccad05e0cdb.jpg"/><Relationship Id="rId59" Type="http://schemas.openxmlformats.org/officeDocument/2006/relationships/image" Target="../media/594e0a5346d569c0572ec064521c0572.jpg"/><Relationship Id="rId60" Type="http://schemas.openxmlformats.org/officeDocument/2006/relationships/image" Target="../media/d31069f59f2c24b341020f28529fddae.jpg"/><Relationship Id="rId61" Type="http://schemas.openxmlformats.org/officeDocument/2006/relationships/image" Target="../media/5535329fcba9076957984178b3fd54c9.jpg"/><Relationship Id="rId62" Type="http://schemas.openxmlformats.org/officeDocument/2006/relationships/image" Target="../media/b9f066bd7a35a03355a6d1263f9dbd43.jpg"/><Relationship Id="rId63" Type="http://schemas.openxmlformats.org/officeDocument/2006/relationships/image" Target="../media/3355cd34db84d6607811349df7820239.jpg"/><Relationship Id="rId64" Type="http://schemas.openxmlformats.org/officeDocument/2006/relationships/image" Target="../media/72fc563e93384c90f9406720ee2bf558.jpg"/><Relationship Id="rId65" Type="http://schemas.openxmlformats.org/officeDocument/2006/relationships/image" Target="../media/ca6d441767c2cff0310285b65af25ca2.jpg"/><Relationship Id="rId66" Type="http://schemas.openxmlformats.org/officeDocument/2006/relationships/image" Target="../media/47a5efb024c00288487784a3c4dbe0eb.jpg"/><Relationship Id="rId67" Type="http://schemas.openxmlformats.org/officeDocument/2006/relationships/image" Target="../media/3ffec9ef6b636ad45510e9712933c3a6.jpg"/><Relationship Id="rId68" Type="http://schemas.openxmlformats.org/officeDocument/2006/relationships/image" Target="../media/046fe1c2bb09d6dfcdaad14ac3c39e81.jpg"/><Relationship Id="rId69" Type="http://schemas.openxmlformats.org/officeDocument/2006/relationships/image" Target="../media/213fafe343c257164cd58986a9fbdab1.jpg"/><Relationship Id="rId70" Type="http://schemas.openxmlformats.org/officeDocument/2006/relationships/image" Target="../media/0e6d6a51a96412467b482df8da2f081a.jpg"/><Relationship Id="rId71" Type="http://schemas.openxmlformats.org/officeDocument/2006/relationships/image" Target="../media/5810a43cf7af696c3694758aa36d263c.jpg"/><Relationship Id="rId72" Type="http://schemas.openxmlformats.org/officeDocument/2006/relationships/image" Target="../media/6d5ce3741f087877c8b69ae735716fc9.jpg"/><Relationship Id="rId73" Type="http://schemas.openxmlformats.org/officeDocument/2006/relationships/image" Target="../media/6d5ce3741f087877c8b69ae735716fc9.jpg"/><Relationship Id="rId74" Type="http://schemas.openxmlformats.org/officeDocument/2006/relationships/image" Target="../media/6d5ce3741f087877c8b69ae735716fc9.jpg"/><Relationship Id="rId75" Type="http://schemas.openxmlformats.org/officeDocument/2006/relationships/image" Target="../media/6d5ce3741f087877c8b69ae735716fc9.jpg"/><Relationship Id="rId76" Type="http://schemas.openxmlformats.org/officeDocument/2006/relationships/image" Target="../media/6d5ce3741f087877c8b69ae735716fc9.jpg"/><Relationship Id="rId77" Type="http://schemas.openxmlformats.org/officeDocument/2006/relationships/image" Target="../media/6d5ce3741f087877c8b69ae735716fc9.jpg"/><Relationship Id="rId78" Type="http://schemas.openxmlformats.org/officeDocument/2006/relationships/image" Target="../media/6d5ce3741f087877c8b69ae735716fc9.jpg"/><Relationship Id="rId79" Type="http://schemas.openxmlformats.org/officeDocument/2006/relationships/image" Target="../media/6d5ce3741f087877c8b69ae735716fc9.jpg"/><Relationship Id="rId80" Type="http://schemas.openxmlformats.org/officeDocument/2006/relationships/image" Target="../media/6d5ce3741f087877c8b69ae735716fc9.jpg"/><Relationship Id="rId81" Type="http://schemas.openxmlformats.org/officeDocument/2006/relationships/image" Target="../media/6d5ce3741f087877c8b69ae735716fc9.jpg"/><Relationship Id="rId82" Type="http://schemas.openxmlformats.org/officeDocument/2006/relationships/image" Target="../media/6d5ce3741f087877c8b69ae735716fc9.jpg"/><Relationship Id="rId83" Type="http://schemas.openxmlformats.org/officeDocument/2006/relationships/image" Target="../media/29df551e4e6975430c3d8901b9bef72e.jpg"/><Relationship Id="rId84" Type="http://schemas.openxmlformats.org/officeDocument/2006/relationships/image" Target="../media/72d932b6bee733e495f00703bb5462ca.jpg"/><Relationship Id="rId85" Type="http://schemas.openxmlformats.org/officeDocument/2006/relationships/image" Target="../media/a331398e8ff473021b2cc1381d8abb59.jpg"/><Relationship Id="rId86" Type="http://schemas.openxmlformats.org/officeDocument/2006/relationships/image" Target="../media/09778ae90c8eba4062de28b1aeccd8d3.jpg"/><Relationship Id="rId87" Type="http://schemas.openxmlformats.org/officeDocument/2006/relationships/image" Target="../media/ab8a33ac57d7f2105908385be6fdb90f.jpg"/><Relationship Id="rId88" Type="http://schemas.openxmlformats.org/officeDocument/2006/relationships/image" Target="../media/807b93791023a759fa299acff167fe4f.jpg"/><Relationship Id="rId89" Type="http://schemas.openxmlformats.org/officeDocument/2006/relationships/image" Target="../media/3b432cbe18ade42e6fabbc6214036887.jpg"/><Relationship Id="rId90" Type="http://schemas.openxmlformats.org/officeDocument/2006/relationships/image" Target="../media/257fa86195978556c6e9254ba62fb3d8.jpg"/><Relationship Id="rId91" Type="http://schemas.openxmlformats.org/officeDocument/2006/relationships/image" Target="../media/e088667ec8fabaccc898839cc48197cc.jpg"/><Relationship Id="rId92" Type="http://schemas.openxmlformats.org/officeDocument/2006/relationships/image" Target="../media/26ffc46ceaddd4cd604edce8958a95e6.jpg"/><Relationship Id="rId93" Type="http://schemas.openxmlformats.org/officeDocument/2006/relationships/image" Target="../media/a9f2db47f18c386edb8ee352e87ae354.jpg"/><Relationship Id="rId94" Type="http://schemas.openxmlformats.org/officeDocument/2006/relationships/image" Target="../media/03447136aa392cb653eaab490f87b517.jpg"/><Relationship Id="rId95" Type="http://schemas.openxmlformats.org/officeDocument/2006/relationships/image" Target="../media/9e37102dae49dd307285afe1e3cd585f.jpg"/><Relationship Id="rId96" Type="http://schemas.openxmlformats.org/officeDocument/2006/relationships/image" Target="../media/eb9f4f43288e04ea72aee6c7cb936e34.jpg"/><Relationship Id="rId97" Type="http://schemas.openxmlformats.org/officeDocument/2006/relationships/image" Target="../media/930193bddd87581c46c22d05b5cdc349.jpg"/><Relationship Id="rId98" Type="http://schemas.openxmlformats.org/officeDocument/2006/relationships/image" Target="../media/058c6563848f0ca9398284819401aeed.jpg"/><Relationship Id="rId99" Type="http://schemas.openxmlformats.org/officeDocument/2006/relationships/image" Target="../media/6d5ce3741f087877c8b69ae735716fc9.jpg"/><Relationship Id="rId100" Type="http://schemas.openxmlformats.org/officeDocument/2006/relationships/image" Target="../media/6d5ce3741f087877c8b69ae735716fc9.jpg"/><Relationship Id="rId101" Type="http://schemas.openxmlformats.org/officeDocument/2006/relationships/image" Target="../media/6d5ce3741f087877c8b69ae735716fc9.jpg"/><Relationship Id="rId102" Type="http://schemas.openxmlformats.org/officeDocument/2006/relationships/image" Target="../media/9db2ed37b3f0d78f6c3d789c84142e6d.jpg"/><Relationship Id="rId103" Type="http://schemas.openxmlformats.org/officeDocument/2006/relationships/image" Target="../media/f0c704095005f662fc3f2422a8afa985.jpg"/><Relationship Id="rId104" Type="http://schemas.openxmlformats.org/officeDocument/2006/relationships/image" Target="../media/1c68de6976dc626f054daf05d389495f.jpg"/><Relationship Id="rId105" Type="http://schemas.openxmlformats.org/officeDocument/2006/relationships/image" Target="../media/bc14db7acbf13d033cd5579a6c39b455.jpg"/><Relationship Id="rId106" Type="http://schemas.openxmlformats.org/officeDocument/2006/relationships/image" Target="../media/4982e0a943a74b62dc1d0f3fad41e0f7.jpg"/><Relationship Id="rId107" Type="http://schemas.openxmlformats.org/officeDocument/2006/relationships/image" Target="../media/efb49033ef1d39af1023b19ad4db5fc9.jpg"/><Relationship Id="rId108" Type="http://schemas.openxmlformats.org/officeDocument/2006/relationships/image" Target="../media/1522ee546898a9cca606cab472a45bf9.jpg"/><Relationship Id="rId109" Type="http://schemas.openxmlformats.org/officeDocument/2006/relationships/image" Target="../media/335d48df339eeebdb208bc1387f0fc52.jpg"/><Relationship Id="rId110" Type="http://schemas.openxmlformats.org/officeDocument/2006/relationships/image" Target="../media/d2dfaa449ab957cc5b141b55696389d5.jpg"/><Relationship Id="rId111" Type="http://schemas.openxmlformats.org/officeDocument/2006/relationships/image" Target="../media/7173df741c584428a164ef68bff4b945.jpg"/><Relationship Id="rId112" Type="http://schemas.openxmlformats.org/officeDocument/2006/relationships/image" Target="../media/643a6ede0b1e89c8a56f1bf8a596a2eb.jpg"/><Relationship Id="rId113" Type="http://schemas.openxmlformats.org/officeDocument/2006/relationships/image" Target="../media/93e311043c560715218ccd2da90b7111.jpg"/><Relationship Id="rId114" Type="http://schemas.openxmlformats.org/officeDocument/2006/relationships/image" Target="../media/392fc37aaa5d14d85534daeeb2c07677.jpg"/><Relationship Id="rId115" Type="http://schemas.openxmlformats.org/officeDocument/2006/relationships/image" Target="../media/307b23fed07aad70442823c5f40ecd0d.jpg"/><Relationship Id="rId116" Type="http://schemas.openxmlformats.org/officeDocument/2006/relationships/image" Target="../media/669f12ee3ddb1abc0c88027c51f85193.jpg"/><Relationship Id="rId117" Type="http://schemas.openxmlformats.org/officeDocument/2006/relationships/image" Target="../media/17dea9af929f91d9bb9d2922a1c55af8.jpg"/><Relationship Id="rId118" Type="http://schemas.openxmlformats.org/officeDocument/2006/relationships/image" Target="../media/3943ed33c5e57afed2f6058ff24ed1c1.jpg"/><Relationship Id="rId119" Type="http://schemas.openxmlformats.org/officeDocument/2006/relationships/image" Target="../media/11422e6ce6a97163770013bbe7979f84.jpg"/><Relationship Id="rId120" Type="http://schemas.openxmlformats.org/officeDocument/2006/relationships/image" Target="../media/61c605ed141f1bbb00ffd78b0a2ddf8b.jpg"/><Relationship Id="rId121" Type="http://schemas.openxmlformats.org/officeDocument/2006/relationships/image" Target="../media/e3128b20c51f043a70888706a5fdfbb0.jpg"/><Relationship Id="rId122" Type="http://schemas.openxmlformats.org/officeDocument/2006/relationships/image" Target="../media/2c2be6ade530ca3d5f921ef630ba3208.jpg"/><Relationship Id="rId123" Type="http://schemas.openxmlformats.org/officeDocument/2006/relationships/image" Target="../media/3bbdfcffb47b06b35773090c32842ca7.jpg"/><Relationship Id="rId124" Type="http://schemas.openxmlformats.org/officeDocument/2006/relationships/image" Target="../media/5557dc70d29b477c1b1823220c29ae38.jpg"/><Relationship Id="rId125" Type="http://schemas.openxmlformats.org/officeDocument/2006/relationships/image" Target="../media/3451c8671b01ac885b21cb1031d9cd76.jpg"/><Relationship Id="rId126" Type="http://schemas.openxmlformats.org/officeDocument/2006/relationships/image" Target="../media/902452b1e577274aa830af8cac7bcae5.jpg"/><Relationship Id="rId127" Type="http://schemas.openxmlformats.org/officeDocument/2006/relationships/image" Target="../media/cf0922429fe99ce5c0f113f91e153123.jpg"/><Relationship Id="rId128" Type="http://schemas.openxmlformats.org/officeDocument/2006/relationships/image" Target="../media/81501032d7adf032f2d5a7cbcc33f20a.jpg"/><Relationship Id="rId129" Type="http://schemas.openxmlformats.org/officeDocument/2006/relationships/image" Target="../media/2a71011af50433cdf48e0ce0a3fcec4e.jpg"/><Relationship Id="rId130" Type="http://schemas.openxmlformats.org/officeDocument/2006/relationships/image" Target="../media/76ad834beb0f21c662cea375594b4a57.jpg"/><Relationship Id="rId131" Type="http://schemas.openxmlformats.org/officeDocument/2006/relationships/image" Target="../media/c0e151a6a33c84366557720b1c9e90ef.jpg"/><Relationship Id="rId132" Type="http://schemas.openxmlformats.org/officeDocument/2006/relationships/image" Target="../media/b263ffb5fc3c6f955f8017791d673b02.jpg"/><Relationship Id="rId133" Type="http://schemas.openxmlformats.org/officeDocument/2006/relationships/image" Target="../media/6e30e06506ab889548a8c053faabc0f7.jpg"/><Relationship Id="rId134" Type="http://schemas.openxmlformats.org/officeDocument/2006/relationships/image" Target="../media/04b9aa955b2cb3d1f452b4c2ce07acb9.jpg"/><Relationship Id="rId135" Type="http://schemas.openxmlformats.org/officeDocument/2006/relationships/image" Target="../media/0bb1902ff2635e8b846ef9c07b221d61.jpg"/><Relationship Id="rId136" Type="http://schemas.openxmlformats.org/officeDocument/2006/relationships/image" Target="../media/d53ac2d447bd3bb11345a5ff26f72e54.jpg"/><Relationship Id="rId137" Type="http://schemas.openxmlformats.org/officeDocument/2006/relationships/image" Target="../media/5211b26011820b60327f7029d251073c.jpg"/><Relationship Id="rId138" Type="http://schemas.openxmlformats.org/officeDocument/2006/relationships/image" Target="../media/25267c33323e990775c65b05db47f847.jpg"/><Relationship Id="rId139" Type="http://schemas.openxmlformats.org/officeDocument/2006/relationships/image" Target="../media/d830dfc1a17a697b69ca3f5f6f0fd881.jpg"/><Relationship Id="rId140" Type="http://schemas.openxmlformats.org/officeDocument/2006/relationships/image" Target="../media/6d5ce3741f087877c8b69ae735716fc9.jpg"/><Relationship Id="rId141" Type="http://schemas.openxmlformats.org/officeDocument/2006/relationships/image" Target="../media/6d5ce3741f087877c8b69ae735716fc9.jpg"/><Relationship Id="rId142" Type="http://schemas.openxmlformats.org/officeDocument/2006/relationships/image" Target="../media/6d5ce3741f087877c8b69ae735716fc9.jpg"/><Relationship Id="rId143" Type="http://schemas.openxmlformats.org/officeDocument/2006/relationships/image" Target="../media/6d5ce3741f087877c8b69ae735716fc9.jpg"/><Relationship Id="rId144" Type="http://schemas.openxmlformats.org/officeDocument/2006/relationships/image" Target="../media/6283559c7f6a612837525f0692645956.jpg"/><Relationship Id="rId145" Type="http://schemas.openxmlformats.org/officeDocument/2006/relationships/image" Target="../media/c10165d7b0e762d5325ce5221f65b23e.jpg"/><Relationship Id="rId146" Type="http://schemas.openxmlformats.org/officeDocument/2006/relationships/image" Target="../media/5d08d421f3ed9766508b98f4c940c040.jpg"/><Relationship Id="rId147" Type="http://schemas.openxmlformats.org/officeDocument/2006/relationships/image" Target="../media/11fe1118bedfcf75a85a1bd15d737f6f.jpg"/><Relationship Id="rId148" Type="http://schemas.openxmlformats.org/officeDocument/2006/relationships/image" Target="../media/a70d5feb34064a35ff61cacef3598b4d.jpg"/><Relationship Id="rId149" Type="http://schemas.openxmlformats.org/officeDocument/2006/relationships/image" Target="../media/9c70e9493060229f3fc312cd1132ee91.jpg"/><Relationship Id="rId150" Type="http://schemas.openxmlformats.org/officeDocument/2006/relationships/image" Target="../media/94f3c928aaca97c2814490e192409f66.jpg"/><Relationship Id="rId151" Type="http://schemas.openxmlformats.org/officeDocument/2006/relationships/image" Target="../media/0abed68be62e6d203138af78dd14615c.jpg"/><Relationship Id="rId152" Type="http://schemas.openxmlformats.org/officeDocument/2006/relationships/image" Target="../media/ffaf77ffb7053acbc71ab07c1b3021bc.jpg"/><Relationship Id="rId153" Type="http://schemas.openxmlformats.org/officeDocument/2006/relationships/image" Target="../media/81b4574bfeda8599648c6a1ccf90ef0a.jpg"/><Relationship Id="rId154" Type="http://schemas.openxmlformats.org/officeDocument/2006/relationships/image" Target="../media/21df853c6776a2c9b3a82efc5ef993d9.jpg"/><Relationship Id="rId155" Type="http://schemas.openxmlformats.org/officeDocument/2006/relationships/image" Target="../media/cb7d7a653fcd2975b12e938641198688.jpg"/><Relationship Id="rId156" Type="http://schemas.openxmlformats.org/officeDocument/2006/relationships/image" Target="../media/90a35b00c4a829581b0f63c62449cddc.jpg"/><Relationship Id="rId157" Type="http://schemas.openxmlformats.org/officeDocument/2006/relationships/image" Target="../media/eb1ab1cafc535314f8845bbe8ffc24d6.jpg"/><Relationship Id="rId158" Type="http://schemas.openxmlformats.org/officeDocument/2006/relationships/image" Target="../media/c5245ebf4a86a3a2b058630e74fd4a33.jpg"/><Relationship Id="rId159" Type="http://schemas.openxmlformats.org/officeDocument/2006/relationships/image" Target="../media/82f0c5cb35b25d018841bf3e638af99d.jpg"/><Relationship Id="rId160" Type="http://schemas.openxmlformats.org/officeDocument/2006/relationships/image" Target="../media/bf6c8e7a9d0ddb51d298feca28d13a17.jpg"/><Relationship Id="rId161" Type="http://schemas.openxmlformats.org/officeDocument/2006/relationships/image" Target="../media/efd75d1c6a6a221d1840a9cc1f3d48d8.jpg"/><Relationship Id="rId162" Type="http://schemas.openxmlformats.org/officeDocument/2006/relationships/image" Target="../media/37a5fe1de0be323209bf3c0c9e0aa6af.jpg"/><Relationship Id="rId163" Type="http://schemas.openxmlformats.org/officeDocument/2006/relationships/image" Target="../media/3b68213c1c4ada31d6840e740b23ca3b.jpg"/><Relationship Id="rId164" Type="http://schemas.openxmlformats.org/officeDocument/2006/relationships/image" Target="../media/4c30146dda443b623b4a1238e0ec020e.jpg"/><Relationship Id="rId165" Type="http://schemas.openxmlformats.org/officeDocument/2006/relationships/image" Target="../media/a8a09f04e6d55ffa508a08409d93e5c4.jpg"/><Relationship Id="rId166" Type="http://schemas.openxmlformats.org/officeDocument/2006/relationships/image" Target="../media/8176ec41257c98436cd21129277f85bb.jpg"/><Relationship Id="rId167" Type="http://schemas.openxmlformats.org/officeDocument/2006/relationships/image" Target="../media/35aa50519ef4901cdc5aca3055d063d5.jpg"/><Relationship Id="rId168" Type="http://schemas.openxmlformats.org/officeDocument/2006/relationships/image" Target="../media/7ef3cd55ce8dc5a9fdecf5d09b040485.jpg"/><Relationship Id="rId169" Type="http://schemas.openxmlformats.org/officeDocument/2006/relationships/image" Target="../media/3e67da2d237334e389767bf1bc778f45.jpg"/><Relationship Id="rId170" Type="http://schemas.openxmlformats.org/officeDocument/2006/relationships/image" Target="../media/a38534ea68de83e07db765282adc5400.jpg"/><Relationship Id="rId171" Type="http://schemas.openxmlformats.org/officeDocument/2006/relationships/image" Target="../media/f2ff59f140fd39e468273b6d8aa4488b.jpg"/><Relationship Id="rId172" Type="http://schemas.openxmlformats.org/officeDocument/2006/relationships/image" Target="../media/a8a41937b487e55f8cf872608a64e3b7.jpg"/><Relationship Id="rId173" Type="http://schemas.openxmlformats.org/officeDocument/2006/relationships/image" Target="../media/7e86ac96009b0a9a73b0dce5b5fc76ec.jpg"/><Relationship Id="rId174" Type="http://schemas.openxmlformats.org/officeDocument/2006/relationships/image" Target="../media/8e96d57167e12b2a99b1859d566ec147.jpg"/><Relationship Id="rId175" Type="http://schemas.openxmlformats.org/officeDocument/2006/relationships/image" Target="../media/a2edd70abb72f93cae0584923083aa2e.jpg"/><Relationship Id="rId176" Type="http://schemas.openxmlformats.org/officeDocument/2006/relationships/image" Target="../media/4619536fe6795156981c430b8bc26e56.jpg"/><Relationship Id="rId177" Type="http://schemas.openxmlformats.org/officeDocument/2006/relationships/image" Target="../media/6d5ce3741f087877c8b69ae735716fc9.jpg"/><Relationship Id="rId178" Type="http://schemas.openxmlformats.org/officeDocument/2006/relationships/image" Target="../media/6d5ce3741f087877c8b69ae735716fc9.jpg"/><Relationship Id="rId179" Type="http://schemas.openxmlformats.org/officeDocument/2006/relationships/image" Target="../media/8d4fb1cb78139844dbb607f5d8cbd44d.jpg"/><Relationship Id="rId180" Type="http://schemas.openxmlformats.org/officeDocument/2006/relationships/image" Target="../media/3af4d424d89b4eec153732aa4b13b0a6.jpg"/><Relationship Id="rId181" Type="http://schemas.openxmlformats.org/officeDocument/2006/relationships/image" Target="../media/de4d5b3566ff094607707ff3d8007e6c.jpg"/><Relationship Id="rId182" Type="http://schemas.openxmlformats.org/officeDocument/2006/relationships/image" Target="../media/860266d14eac13678a01ec05b8ec3b99.jpg"/><Relationship Id="rId183" Type="http://schemas.openxmlformats.org/officeDocument/2006/relationships/image" Target="../media/8e9ef08c3c58e284a11365894c12d2ad.jpg"/><Relationship Id="rId184" Type="http://schemas.openxmlformats.org/officeDocument/2006/relationships/image" Target="../media/dbf61e7172b5bf6a68199640c79515ff.jpg"/><Relationship Id="rId185" Type="http://schemas.openxmlformats.org/officeDocument/2006/relationships/image" Target="../media/079e75d0a9448534bdcca694fee784e9.jpg"/><Relationship Id="rId186" Type="http://schemas.openxmlformats.org/officeDocument/2006/relationships/image" Target="../media/bea5f5e62e0c189bb00c4e7e8f78622c.jpg"/><Relationship Id="rId187" Type="http://schemas.openxmlformats.org/officeDocument/2006/relationships/image" Target="../media/3fdb94ec810b398eae50706fcfb1ac44.jpg"/><Relationship Id="rId188" Type="http://schemas.openxmlformats.org/officeDocument/2006/relationships/image" Target="../media/f6c156b642face70263c69f3a71e86b0.jpg"/><Relationship Id="rId189" Type="http://schemas.openxmlformats.org/officeDocument/2006/relationships/image" Target="../media/def86418466bfdcafec9f63d29c1ffc8.jpg"/><Relationship Id="rId190" Type="http://schemas.openxmlformats.org/officeDocument/2006/relationships/image" Target="../media/00a1adcaead093a5eb52eae656c38783.jpg"/><Relationship Id="rId191" Type="http://schemas.openxmlformats.org/officeDocument/2006/relationships/image" Target="../media/6d5ce3741f087877c8b69ae735716fc9.jpg"/><Relationship Id="rId192" Type="http://schemas.openxmlformats.org/officeDocument/2006/relationships/image" Target="../media/b70aabb28290729c341b3e0074dae4d7.jpg"/><Relationship Id="rId193" Type="http://schemas.openxmlformats.org/officeDocument/2006/relationships/image" Target="../media/618174a4d4e5fce78539355cdc941851.jpg"/><Relationship Id="rId194" Type="http://schemas.openxmlformats.org/officeDocument/2006/relationships/image" Target="../media/c73bfd56d5b091870bc027bba4504e2e.jpg"/><Relationship Id="rId195" Type="http://schemas.openxmlformats.org/officeDocument/2006/relationships/image" Target="../media/9e29fbd0ad221634095db5130e7dfc36.jpg"/><Relationship Id="rId196" Type="http://schemas.openxmlformats.org/officeDocument/2006/relationships/image" Target="../media/6d5ce3741f087877c8b69ae735716fc9.jpg"/><Relationship Id="rId197" Type="http://schemas.openxmlformats.org/officeDocument/2006/relationships/image" Target="../media/26ac50126b04fe726d267edcc9c03e57.jpg"/><Relationship Id="rId198" Type="http://schemas.openxmlformats.org/officeDocument/2006/relationships/image" Target="../media/90920dc66d62e3b26dfe853e6d9895f9.jpg"/><Relationship Id="rId199" Type="http://schemas.openxmlformats.org/officeDocument/2006/relationships/image" Target="../media/8953d266e8f2f8c1e611a2f86fc8abf7.jpg"/><Relationship Id="rId200" Type="http://schemas.openxmlformats.org/officeDocument/2006/relationships/image" Target="../media/af5679ff9ca86a2c3a0036c5b111ebca.jpg"/><Relationship Id="rId201" Type="http://schemas.openxmlformats.org/officeDocument/2006/relationships/image" Target="../media/52639c6f810a1757cb90dd71abe50170.jpg"/><Relationship Id="rId202" Type="http://schemas.openxmlformats.org/officeDocument/2006/relationships/image" Target="../media/e87b32d8f26053c070cc4a58ac242e1d.jpg"/><Relationship Id="rId203" Type="http://schemas.openxmlformats.org/officeDocument/2006/relationships/image" Target="../media/49202530d6f6a3a4483fd0c2e7537c4d.jpg"/><Relationship Id="rId204" Type="http://schemas.openxmlformats.org/officeDocument/2006/relationships/image" Target="../media/b26a318bfdd5805852695b3fd25057af.jpg"/><Relationship Id="rId205" Type="http://schemas.openxmlformats.org/officeDocument/2006/relationships/image" Target="../media/83455137e75ae04001f01b115975769e.jpg"/><Relationship Id="rId206" Type="http://schemas.openxmlformats.org/officeDocument/2006/relationships/image" Target="../media/6f789ec78684ec0e574a68fc6098be35.jpg"/><Relationship Id="rId207" Type="http://schemas.openxmlformats.org/officeDocument/2006/relationships/image" Target="../media/4793e0ccd44a8969c872e08347936657.jpg"/><Relationship Id="rId208" Type="http://schemas.openxmlformats.org/officeDocument/2006/relationships/image" Target="../media/127f5ec14d07aa673f409903dfc1a1d1.jpg"/><Relationship Id="rId209" Type="http://schemas.openxmlformats.org/officeDocument/2006/relationships/image" Target="../media/fd1f4c4c6768f40844697a4e6275ec70.jpg"/><Relationship Id="rId210" Type="http://schemas.openxmlformats.org/officeDocument/2006/relationships/image" Target="../media/28b6ce6e6f988af777de64cefa690339.jpg"/><Relationship Id="rId211" Type="http://schemas.openxmlformats.org/officeDocument/2006/relationships/image" Target="../media/c0ddcbb190c8ebacfeb38a6876bc68d8.jpg"/><Relationship Id="rId212" Type="http://schemas.openxmlformats.org/officeDocument/2006/relationships/image" Target="../media/3129e54588366d214b6a38b077db834c.jpg"/><Relationship Id="rId213" Type="http://schemas.openxmlformats.org/officeDocument/2006/relationships/image" Target="../media/5c9465f40647f2503602c959c8216b91.jpg"/><Relationship Id="rId214" Type="http://schemas.openxmlformats.org/officeDocument/2006/relationships/image" Target="../media/1a688019b7952cc89be1f7c9deaa622a.jpg"/><Relationship Id="rId215" Type="http://schemas.openxmlformats.org/officeDocument/2006/relationships/image" Target="../media/ab72eb0b68359025b364f2f56a5b15ef.jpg"/><Relationship Id="rId216" Type="http://schemas.openxmlformats.org/officeDocument/2006/relationships/image" Target="../media/28d2e03561e3388d295ab5cbdefb9e31.jpg"/><Relationship Id="rId217" Type="http://schemas.openxmlformats.org/officeDocument/2006/relationships/image" Target="../media/73a2037320890224070a0b59a039d9c8.jpg"/><Relationship Id="rId218" Type="http://schemas.openxmlformats.org/officeDocument/2006/relationships/image" Target="../media/d5b3011c607a0bb37adbe9bb7142e3e4.jpg"/><Relationship Id="rId219" Type="http://schemas.openxmlformats.org/officeDocument/2006/relationships/image" Target="../media/22721d172e9cecaa0b5c7787922f6053.jpg"/><Relationship Id="rId220" Type="http://schemas.openxmlformats.org/officeDocument/2006/relationships/image" Target="../media/b6242e322b915a71e330837ada8bef44.jpg"/><Relationship Id="rId221" Type="http://schemas.openxmlformats.org/officeDocument/2006/relationships/image" Target="../media/c2ce46415754fc5e89ff52d55064aeec.jpg"/><Relationship Id="rId222" Type="http://schemas.openxmlformats.org/officeDocument/2006/relationships/image" Target="../media/5c5634e293d3ee4943ca827d0d637f2e.jpg"/><Relationship Id="rId223" Type="http://schemas.openxmlformats.org/officeDocument/2006/relationships/image" Target="../media/a8293fb6b6d2877ab0f9e5bd1bb6344c.jpg"/><Relationship Id="rId224" Type="http://schemas.openxmlformats.org/officeDocument/2006/relationships/image" Target="../media/28fd72c7da18a14c241f380b643cc45a.jpg"/><Relationship Id="rId225" Type="http://schemas.openxmlformats.org/officeDocument/2006/relationships/image" Target="../media/af3074994fb3fc9499fa65e6b46b4d52.jpg"/><Relationship Id="rId226" Type="http://schemas.openxmlformats.org/officeDocument/2006/relationships/image" Target="../media/ae4ac00aee926962d06359dbd02cbfcf.jpg"/><Relationship Id="rId227" Type="http://schemas.openxmlformats.org/officeDocument/2006/relationships/image" Target="../media/ebb99c1e0acbfd971de4c0d6724cbe88.jpg"/><Relationship Id="rId228" Type="http://schemas.openxmlformats.org/officeDocument/2006/relationships/image" Target="../media/a6cfef44dc86657260c205c86d4d3ce1.jpg"/><Relationship Id="rId229" Type="http://schemas.openxmlformats.org/officeDocument/2006/relationships/image" Target="../media/5bfc681e0aedf1e5d16fc45eda18100b.jpg"/><Relationship Id="rId230" Type="http://schemas.openxmlformats.org/officeDocument/2006/relationships/image" Target="../media/3e9adf8eb23bd635e5f953236cee185f.jpg"/><Relationship Id="rId231" Type="http://schemas.openxmlformats.org/officeDocument/2006/relationships/image" Target="../media/8cde898b172e02784341eed9bccfa114.jpg"/><Relationship Id="rId232" Type="http://schemas.openxmlformats.org/officeDocument/2006/relationships/image" Target="../media/52a14fd4b74c7a30205ed568a732150e.jpg"/><Relationship Id="rId233" Type="http://schemas.openxmlformats.org/officeDocument/2006/relationships/image" Target="../media/89ca13492a01e9603c7a82600eb8cf19.jpg"/><Relationship Id="rId234" Type="http://schemas.openxmlformats.org/officeDocument/2006/relationships/image" Target="../media/48506e6401bafbca94a536c0af8d29a3.jpg"/><Relationship Id="rId235" Type="http://schemas.openxmlformats.org/officeDocument/2006/relationships/image" Target="../media/ed98232dafa74899281ed8515b33535e.jpg"/><Relationship Id="rId236" Type="http://schemas.openxmlformats.org/officeDocument/2006/relationships/image" Target="../media/c376bceaf557d68ab3002c7d684456fb.jpg"/><Relationship Id="rId237" Type="http://schemas.openxmlformats.org/officeDocument/2006/relationships/image" Target="../media/68c8b1b1b78e95f5711b09428706e810.jpg"/><Relationship Id="rId238" Type="http://schemas.openxmlformats.org/officeDocument/2006/relationships/image" Target="../media/0263766264817ca0756c74364f9dbafb.jpg"/><Relationship Id="rId239" Type="http://schemas.openxmlformats.org/officeDocument/2006/relationships/image" Target="../media/6d5ce3741f087877c8b69ae735716fc9.jpg"/><Relationship Id="rId240" Type="http://schemas.openxmlformats.org/officeDocument/2006/relationships/image" Target="../media/6d5ce3741f087877c8b69ae735716fc9.jpg"/><Relationship Id="rId241" Type="http://schemas.openxmlformats.org/officeDocument/2006/relationships/image" Target="../media/6d5ce3741f087877c8b69ae735716fc9.jpg"/><Relationship Id="rId242" Type="http://schemas.openxmlformats.org/officeDocument/2006/relationships/image" Target="../media/6d5ce3741f087877c8b69ae735716fc9.jpg"/><Relationship Id="rId243" Type="http://schemas.openxmlformats.org/officeDocument/2006/relationships/image" Target="../media/6d5ce3741f087877c8b69ae735716fc9.jpg"/><Relationship Id="rId244" Type="http://schemas.openxmlformats.org/officeDocument/2006/relationships/image" Target="../media/6d5ce3741f087877c8b69ae735716fc9.jpg"/><Relationship Id="rId245" Type="http://schemas.openxmlformats.org/officeDocument/2006/relationships/image" Target="../media/6d5ce3741f087877c8b69ae735716fc9.jpg"/><Relationship Id="rId246" Type="http://schemas.openxmlformats.org/officeDocument/2006/relationships/image" Target="../media/3de15d88921f5abd37e5823d307d544d.jpg"/><Relationship Id="rId247" Type="http://schemas.openxmlformats.org/officeDocument/2006/relationships/image" Target="../media/9bd8356bef516616e71bf83d8dc25a74.jpg"/><Relationship Id="rId248" Type="http://schemas.openxmlformats.org/officeDocument/2006/relationships/image" Target="../media/2a4a04cd43fdf21c10e357b9ae08d690.jpg"/><Relationship Id="rId249" Type="http://schemas.openxmlformats.org/officeDocument/2006/relationships/image" Target="../media/514617f4649225289e023dc3d0810fbf.jpg"/><Relationship Id="rId250" Type="http://schemas.openxmlformats.org/officeDocument/2006/relationships/image" Target="../media/8501530949930c9d2a32519266e1e019.jpg"/><Relationship Id="rId251" Type="http://schemas.openxmlformats.org/officeDocument/2006/relationships/image" Target="../media/850fd7726643f3e478878be6080a6218.jpg"/><Relationship Id="rId252" Type="http://schemas.openxmlformats.org/officeDocument/2006/relationships/image" Target="../media/8da8dac4b7b58ef93726944cb044d2f9.jpg"/><Relationship Id="rId253" Type="http://schemas.openxmlformats.org/officeDocument/2006/relationships/image" Target="../media/b4ee8d601e46bd63cab99e2b5c3a2f90.jpg"/><Relationship Id="rId254" Type="http://schemas.openxmlformats.org/officeDocument/2006/relationships/image" Target="../media/83073693aabaf71fcae64ab9d1e79bc4.jpg"/><Relationship Id="rId255" Type="http://schemas.openxmlformats.org/officeDocument/2006/relationships/image" Target="../media/1b88a642fed00f6a89a911fdb2bb27e7.jpg"/><Relationship Id="rId256" Type="http://schemas.openxmlformats.org/officeDocument/2006/relationships/image" Target="../media/d0e2937ec0c769b28babeba75c0ebc1c.jpg"/><Relationship Id="rId257" Type="http://schemas.openxmlformats.org/officeDocument/2006/relationships/image" Target="../media/5627a932a6cb57f4f5e7a04ede6e41ba.jpg"/><Relationship Id="rId258" Type="http://schemas.openxmlformats.org/officeDocument/2006/relationships/image" Target="../media/5cfccb032d920d7736ffbdaba9ef85be.jpg"/><Relationship Id="rId259" Type="http://schemas.openxmlformats.org/officeDocument/2006/relationships/image" Target="../media/3ce9c3118a079522605920a0917a3d76.jpg"/><Relationship Id="rId260" Type="http://schemas.openxmlformats.org/officeDocument/2006/relationships/image" Target="../media/faeb43156f61bcb4a92d52f7dbfdf0b0.jpg"/><Relationship Id="rId261" Type="http://schemas.openxmlformats.org/officeDocument/2006/relationships/image" Target="../media/ee42fee5b34f679bab745c6710adb167.jpg"/><Relationship Id="rId262" Type="http://schemas.openxmlformats.org/officeDocument/2006/relationships/image" Target="../media/84e5f082bcc26adac0e73877b865d1d7.jpg"/><Relationship Id="rId263" Type="http://schemas.openxmlformats.org/officeDocument/2006/relationships/image" Target="../media/ba87768b7b5d3efb16043161eb7e634a.jpg"/><Relationship Id="rId264" Type="http://schemas.openxmlformats.org/officeDocument/2006/relationships/image" Target="../media/c7328d7890c9ba0fe700049778b6a611.jpg"/><Relationship Id="rId265" Type="http://schemas.openxmlformats.org/officeDocument/2006/relationships/image" Target="../media/ffcd1ee322edfaf0d1209acc2ce86efd.jpg"/><Relationship Id="rId266" Type="http://schemas.openxmlformats.org/officeDocument/2006/relationships/image" Target="../media/744e710e3172677236b9a98d90578780.jpg"/><Relationship Id="rId267" Type="http://schemas.openxmlformats.org/officeDocument/2006/relationships/image" Target="../media/df56f7ee25b3563d01d760fd97b00dee.jpg"/><Relationship Id="rId268" Type="http://schemas.openxmlformats.org/officeDocument/2006/relationships/image" Target="../media/7ba190f999435b932fc912e139f315a2.jpg"/><Relationship Id="rId269" Type="http://schemas.openxmlformats.org/officeDocument/2006/relationships/image" Target="../media/7373e232c75e406f47ca48f033c901dc.jpg"/><Relationship Id="rId270" Type="http://schemas.openxmlformats.org/officeDocument/2006/relationships/image" Target="../media/20c1f49693616e88e58feb97bc7dc14f.jpg"/><Relationship Id="rId271" Type="http://schemas.openxmlformats.org/officeDocument/2006/relationships/image" Target="../media/e1f6926d8c30a832741cb2b84a4048f0.jpg"/><Relationship Id="rId272" Type="http://schemas.openxmlformats.org/officeDocument/2006/relationships/image" Target="../media/aeed5fa30352032df3753a63fc97e447.jpg"/><Relationship Id="rId273" Type="http://schemas.openxmlformats.org/officeDocument/2006/relationships/image" Target="../media/f724fc1aa0d4dd768a78a3c515eaaaa2.jpg"/><Relationship Id="rId274" Type="http://schemas.openxmlformats.org/officeDocument/2006/relationships/image" Target="../media/22c5738cf21bb8bf206013bdf7513a4f.jpg"/><Relationship Id="rId275" Type="http://schemas.openxmlformats.org/officeDocument/2006/relationships/image" Target="../media/26d4bfef3dd9e30a38c6c7147899b9ad.jpg"/><Relationship Id="rId276" Type="http://schemas.openxmlformats.org/officeDocument/2006/relationships/image" Target="../media/b3454272ffe210259963d01119e4c820.jpg"/><Relationship Id="rId277" Type="http://schemas.openxmlformats.org/officeDocument/2006/relationships/image" Target="../media/edde59497331edb4463e964e293e1b87.jpg"/><Relationship Id="rId278" Type="http://schemas.openxmlformats.org/officeDocument/2006/relationships/image" Target="../media/e424c32ca4ed08827a83abeb5c03f4e9.jpg"/><Relationship Id="rId279" Type="http://schemas.openxmlformats.org/officeDocument/2006/relationships/image" Target="../media/3838f6d4d187046f0eea2f3cc1e0cc84.jpg"/><Relationship Id="rId280" Type="http://schemas.openxmlformats.org/officeDocument/2006/relationships/image" Target="../media/2353131a55434afb5ec2381bfe9b814c.jpg"/><Relationship Id="rId281" Type="http://schemas.openxmlformats.org/officeDocument/2006/relationships/image" Target="../media/7fb138835028a76a3ccd6410ab30120b.jpg"/><Relationship Id="rId282" Type="http://schemas.openxmlformats.org/officeDocument/2006/relationships/image" Target="../media/b05bdc148e460b45606da60312b71645.jpg"/><Relationship Id="rId283" Type="http://schemas.openxmlformats.org/officeDocument/2006/relationships/image" Target="../media/6d5ce3741f087877c8b69ae735716fc9.jpg"/><Relationship Id="rId284" Type="http://schemas.openxmlformats.org/officeDocument/2006/relationships/image" Target="../media/6d5ce3741f087877c8b69ae735716fc9.jpg"/><Relationship Id="rId285" Type="http://schemas.openxmlformats.org/officeDocument/2006/relationships/image" Target="../media/6d5ce3741f087877c8b69ae735716fc9.jpg"/><Relationship Id="rId286" Type="http://schemas.openxmlformats.org/officeDocument/2006/relationships/image" Target="../media/6d5ce3741f087877c8b69ae735716fc9.jpg"/><Relationship Id="rId287" Type="http://schemas.openxmlformats.org/officeDocument/2006/relationships/image" Target="../media/6d5ce3741f087877c8b69ae735716fc9.jpg"/><Relationship Id="rId288" Type="http://schemas.openxmlformats.org/officeDocument/2006/relationships/image" Target="../media/a61f1808a715228570f894c095255ddb.jpg"/><Relationship Id="rId289" Type="http://schemas.openxmlformats.org/officeDocument/2006/relationships/image" Target="../media/6d5ce3741f087877c8b69ae735716fc9.jpg"/><Relationship Id="rId290" Type="http://schemas.openxmlformats.org/officeDocument/2006/relationships/image" Target="../media/2891650c27d0cd6fa7b319cbc4c6b171.jpg"/><Relationship Id="rId291" Type="http://schemas.openxmlformats.org/officeDocument/2006/relationships/image" Target="../media/6c59ef999822456c6bda218d02ee845d.jpg"/><Relationship Id="rId292" Type="http://schemas.openxmlformats.org/officeDocument/2006/relationships/image" Target="../media/6ebdbf50f3cc4167122793236557238f.jpg"/><Relationship Id="rId293" Type="http://schemas.openxmlformats.org/officeDocument/2006/relationships/image" Target="../media/fb2ad79b8bd019a24fbb1ce5e9943a43.jpg"/><Relationship Id="rId294" Type="http://schemas.openxmlformats.org/officeDocument/2006/relationships/image" Target="../media/9766ceb389c13b367cc6a22254d5b3a1.jpg"/><Relationship Id="rId295" Type="http://schemas.openxmlformats.org/officeDocument/2006/relationships/image" Target="../media/4b758aa181acdeb33a4412e31471c1db.jpg"/><Relationship Id="rId296" Type="http://schemas.openxmlformats.org/officeDocument/2006/relationships/image" Target="../media/74e9d90040615c6a34178a5bf1336834.jpg"/><Relationship Id="rId297" Type="http://schemas.openxmlformats.org/officeDocument/2006/relationships/image" Target="../media/fbac69e09d7832bf9674f6805face0b4.jpg"/><Relationship Id="rId298" Type="http://schemas.openxmlformats.org/officeDocument/2006/relationships/image" Target="../media/e93f44a2cd42ae834b75ab85141fca01.jpg"/><Relationship Id="rId299" Type="http://schemas.openxmlformats.org/officeDocument/2006/relationships/image" Target="../media/c26557aebd0b4fe4fe9ac3896fa76bc8.jpg"/><Relationship Id="rId300" Type="http://schemas.openxmlformats.org/officeDocument/2006/relationships/image" Target="../media/3ac5715559113eb96af07c905f291882.jpg"/><Relationship Id="rId301" Type="http://schemas.openxmlformats.org/officeDocument/2006/relationships/image" Target="../media/0fe96cd90b159c71051cdf3969c9a5b9.jpg"/><Relationship Id="rId302" Type="http://schemas.openxmlformats.org/officeDocument/2006/relationships/image" Target="../media/c337d211255929664eabcbffa4797bfa.jpg"/><Relationship Id="rId303" Type="http://schemas.openxmlformats.org/officeDocument/2006/relationships/image" Target="../media/fdba69d97b29901cef6fc58ddce71a92.jpg"/><Relationship Id="rId304" Type="http://schemas.openxmlformats.org/officeDocument/2006/relationships/image" Target="../media/b22aff08c1a5ecb5052a541c6b1e340d.jpg"/><Relationship Id="rId305" Type="http://schemas.openxmlformats.org/officeDocument/2006/relationships/image" Target="../media/00abbb07088f0ab532237f08fde52dc5.jpg"/><Relationship Id="rId306" Type="http://schemas.openxmlformats.org/officeDocument/2006/relationships/image" Target="../media/61adeb8f508eb43c622781726e7fb39d.jpg"/><Relationship Id="rId307" Type="http://schemas.openxmlformats.org/officeDocument/2006/relationships/image" Target="../media/d3ce8538e25e9e9a7bf6ba50e3590122.jpg"/><Relationship Id="rId308" Type="http://schemas.openxmlformats.org/officeDocument/2006/relationships/image" Target="../media/142e457f5c3153e355ed62e2fbd25155.jpg"/><Relationship Id="rId309" Type="http://schemas.openxmlformats.org/officeDocument/2006/relationships/image" Target="../media/2903c3205b449c31de4d6c4e0e66527d.jpg"/><Relationship Id="rId310" Type="http://schemas.openxmlformats.org/officeDocument/2006/relationships/image" Target="../media/6b1a6709e2531e74259a59ca227c80d5.jpg"/><Relationship Id="rId311" Type="http://schemas.openxmlformats.org/officeDocument/2006/relationships/image" Target="../media/3479ab1aede7ae5e889f498058a1149b.jpg"/><Relationship Id="rId312" Type="http://schemas.openxmlformats.org/officeDocument/2006/relationships/image" Target="../media/b21a9a631c5f041bb9d5c71152881f93.jpg"/><Relationship Id="rId313" Type="http://schemas.openxmlformats.org/officeDocument/2006/relationships/image" Target="../media/5fc670218bd4fe42f947fe48cdf73158.jpg"/><Relationship Id="rId314" Type="http://schemas.openxmlformats.org/officeDocument/2006/relationships/image" Target="../media/2416bb4733e2f455eaf4fb2a120638fc.jpg"/><Relationship Id="rId315" Type="http://schemas.openxmlformats.org/officeDocument/2006/relationships/image" Target="../media/59c9bd933ae3795d6a4239fd9b269c9a.jpg"/><Relationship Id="rId316" Type="http://schemas.openxmlformats.org/officeDocument/2006/relationships/image" Target="../media/ac7d1cae3ee5501b3adb6ad210ff4d75.jpg"/><Relationship Id="rId317" Type="http://schemas.openxmlformats.org/officeDocument/2006/relationships/image" Target="../media/d718b498330d9de9cfaf7144e20412e4.jpg"/><Relationship Id="rId318" Type="http://schemas.openxmlformats.org/officeDocument/2006/relationships/image" Target="../media/35bd49957969996441cd8b712cb26388.jpg"/><Relationship Id="rId319" Type="http://schemas.openxmlformats.org/officeDocument/2006/relationships/image" Target="../media/6c0bca1a9d2cb59a3586b32db8442553.jpg"/><Relationship Id="rId320" Type="http://schemas.openxmlformats.org/officeDocument/2006/relationships/image" Target="../media/999750c4dde9d61627bdaedc5e49306e.jpg"/><Relationship Id="rId321" Type="http://schemas.openxmlformats.org/officeDocument/2006/relationships/image" Target="../media/0873e6d7497f6892a214d2f60a49eb96.jpg"/><Relationship Id="rId322" Type="http://schemas.openxmlformats.org/officeDocument/2006/relationships/image" Target="../media/d903013ebc44f53133b01cca4ce349e2.jpg"/><Relationship Id="rId323" Type="http://schemas.openxmlformats.org/officeDocument/2006/relationships/image" Target="../media/9468634f78a9e815e3af9b3a8db3cfe8.jpg"/><Relationship Id="rId324" Type="http://schemas.openxmlformats.org/officeDocument/2006/relationships/image" Target="../media/4f430a2c9b594f265771595081d68dd4.jpg"/><Relationship Id="rId325" Type="http://schemas.openxmlformats.org/officeDocument/2006/relationships/image" Target="../media/428d13b005e3075a83cb178ace624812.jpg"/><Relationship Id="rId326" Type="http://schemas.openxmlformats.org/officeDocument/2006/relationships/image" Target="../media/39dda41f34997fb202392223833176c9.jpg"/><Relationship Id="rId327" Type="http://schemas.openxmlformats.org/officeDocument/2006/relationships/image" Target="../media/55d23e0024fb380b4d178742418c4581.jpg"/><Relationship Id="rId328" Type="http://schemas.openxmlformats.org/officeDocument/2006/relationships/image" Target="../media/4b0bf5a8f7ab7574791f858685524c8b.jpg"/><Relationship Id="rId329" Type="http://schemas.openxmlformats.org/officeDocument/2006/relationships/image" Target="../media/143f603a0bd5e06d73bea98a19ebe86f.jpg"/><Relationship Id="rId330" Type="http://schemas.openxmlformats.org/officeDocument/2006/relationships/image" Target="../media/2a3fadd1fdecf3221b621d80908a86d4.jpg"/><Relationship Id="rId331" Type="http://schemas.openxmlformats.org/officeDocument/2006/relationships/image" Target="../media/1c74d0de1ebe45656502498d7e897fd2.jpg"/><Relationship Id="rId332" Type="http://schemas.openxmlformats.org/officeDocument/2006/relationships/image" Target="../media/92e2c6801e7bf951799be30c0d688a8a.jpg"/><Relationship Id="rId333" Type="http://schemas.openxmlformats.org/officeDocument/2006/relationships/image" Target="../media/55cab4b59728e3661b6bbd4a83206102.jpg"/><Relationship Id="rId334" Type="http://schemas.openxmlformats.org/officeDocument/2006/relationships/image" Target="../media/fb99584d1b4b07c2e230016cbaa9b16a.jpg"/><Relationship Id="rId335" Type="http://schemas.openxmlformats.org/officeDocument/2006/relationships/image" Target="../media/334984c0da3a483c42b42d967b2e7e3d.jpg"/><Relationship Id="rId336" Type="http://schemas.openxmlformats.org/officeDocument/2006/relationships/image" Target="../media/f50fce67febe5d53d36b81a4c63e78a2.jpg"/><Relationship Id="rId337" Type="http://schemas.openxmlformats.org/officeDocument/2006/relationships/image" Target="../media/93d97e89974b8bbf14679af33fafd3c4.jpg"/><Relationship Id="rId338" Type="http://schemas.openxmlformats.org/officeDocument/2006/relationships/image" Target="../media/085516d9a738ee34a5bb57011e6d62e3.jpg"/><Relationship Id="rId339" Type="http://schemas.openxmlformats.org/officeDocument/2006/relationships/image" Target="../media/4ceb480d8b44d9b2e0989884b9773855.jpg"/><Relationship Id="rId340" Type="http://schemas.openxmlformats.org/officeDocument/2006/relationships/image" Target="../media/7031316a1d0ebb37ed2eb508165f30d3.jpg"/><Relationship Id="rId341" Type="http://schemas.openxmlformats.org/officeDocument/2006/relationships/image" Target="../media/6e5fa6f52c51135dabb078fde1a2f6b7.jpg"/><Relationship Id="rId342" Type="http://schemas.openxmlformats.org/officeDocument/2006/relationships/image" Target="../media/afba768ff6047d527386ef90aa934d65.jpg"/><Relationship Id="rId343" Type="http://schemas.openxmlformats.org/officeDocument/2006/relationships/image" Target="../media/6c686af8a9e771a8c7300cb56775d825.jpg"/><Relationship Id="rId344" Type="http://schemas.openxmlformats.org/officeDocument/2006/relationships/image" Target="../media/5c725a68699353e933e79c1839882a26.jpg"/><Relationship Id="rId345" Type="http://schemas.openxmlformats.org/officeDocument/2006/relationships/image" Target="../media/18d55971fd9a1192317a9f5ee49614b5.jpg"/><Relationship Id="rId346" Type="http://schemas.openxmlformats.org/officeDocument/2006/relationships/image" Target="../media/1086458175f051b68b9f2ddf5820e198.jpg"/><Relationship Id="rId347" Type="http://schemas.openxmlformats.org/officeDocument/2006/relationships/image" Target="../media/71f7e7357e73b746b4e157d7eb93902b.jpg"/><Relationship Id="rId348" Type="http://schemas.openxmlformats.org/officeDocument/2006/relationships/image" Target="../media/1af4db92beffccf09eafdb043e2c94ca.jpg"/><Relationship Id="rId349" Type="http://schemas.openxmlformats.org/officeDocument/2006/relationships/image" Target="../media/9b364e61379827673af153426e5a61a9.jpg"/><Relationship Id="rId350" Type="http://schemas.openxmlformats.org/officeDocument/2006/relationships/image" Target="../media/54d4e514f3a7bdd056dfbe44c36f3366.jpg"/><Relationship Id="rId351" Type="http://schemas.openxmlformats.org/officeDocument/2006/relationships/image" Target="../media/83e167c6655eae28f523a73ac2087fcc.jpg"/><Relationship Id="rId352" Type="http://schemas.openxmlformats.org/officeDocument/2006/relationships/image" Target="../media/0dd720c0f77ed85659b8abbc79a5b87a.jpg"/><Relationship Id="rId353" Type="http://schemas.openxmlformats.org/officeDocument/2006/relationships/image" Target="../media/9ff68154acce7d3c60b90da1aedb96f7.jpg"/><Relationship Id="rId354" Type="http://schemas.openxmlformats.org/officeDocument/2006/relationships/image" Target="../media/0fee3bbfaf7d7a84262395bcafd9af1e.jpg"/><Relationship Id="rId355" Type="http://schemas.openxmlformats.org/officeDocument/2006/relationships/image" Target="../media/ea000da42b112041d5059ff3b208de2a.jpg"/><Relationship Id="rId356" Type="http://schemas.openxmlformats.org/officeDocument/2006/relationships/image" Target="../media/e508c5f93ae8c9a7a47e69a46457744d.jpg"/><Relationship Id="rId357" Type="http://schemas.openxmlformats.org/officeDocument/2006/relationships/image" Target="../media/6d5ce3741f087877c8b69ae735716fc9.jpg"/><Relationship Id="rId358" Type="http://schemas.openxmlformats.org/officeDocument/2006/relationships/image" Target="../media/eed5b44fd370a1eb338902a8163a08be.jpg"/><Relationship Id="rId359" Type="http://schemas.openxmlformats.org/officeDocument/2006/relationships/image" Target="../media/a054a2112f84e86451d11e780f8ba108.jpg"/><Relationship Id="rId360" Type="http://schemas.openxmlformats.org/officeDocument/2006/relationships/image" Target="../media/9a8e3a4ede2f532eeb5053b19041c36e.jpg"/><Relationship Id="rId361" Type="http://schemas.openxmlformats.org/officeDocument/2006/relationships/image" Target="../media/f465af0676e86f48dcddf0ef8bb605df.jpg"/><Relationship Id="rId362" Type="http://schemas.openxmlformats.org/officeDocument/2006/relationships/image" Target="../media/3a8908df4357458b093924a564df17c6.jpg"/><Relationship Id="rId363" Type="http://schemas.openxmlformats.org/officeDocument/2006/relationships/image" Target="../media/40e68d202df2f16312fb083f95e7cef6.jpg"/><Relationship Id="rId364" Type="http://schemas.openxmlformats.org/officeDocument/2006/relationships/image" Target="../media/124515d8405441343fb6fe432715a184.jpg"/><Relationship Id="rId365" Type="http://schemas.openxmlformats.org/officeDocument/2006/relationships/image" Target="../media/9d11f9965df10387b10f4a59da6ac84f.jpg"/><Relationship Id="rId366" Type="http://schemas.openxmlformats.org/officeDocument/2006/relationships/image" Target="../media/077cb1172cf86c2ac4522aab44c51910.jpg"/><Relationship Id="rId367" Type="http://schemas.openxmlformats.org/officeDocument/2006/relationships/image" Target="../media/62bd85008c04799dc221e05955e43446.jpg"/><Relationship Id="rId368" Type="http://schemas.openxmlformats.org/officeDocument/2006/relationships/image" Target="../media/7637ffb151738f2421e514e2439d9d6b.jpg"/><Relationship Id="rId369" Type="http://schemas.openxmlformats.org/officeDocument/2006/relationships/image" Target="../media/85b7e1d33b1b4645327e42723a94d3b9.jpg"/><Relationship Id="rId370" Type="http://schemas.openxmlformats.org/officeDocument/2006/relationships/image" Target="../media/da903957a06c1035f664ef911f67a872.jpg"/><Relationship Id="rId371" Type="http://schemas.openxmlformats.org/officeDocument/2006/relationships/image" Target="../media/20aff9e976bacd129e636fe16dbc8397.jpg"/><Relationship Id="rId372" Type="http://schemas.openxmlformats.org/officeDocument/2006/relationships/image" Target="../media/fbbcb5df54eafddbbd96cc6f81ecd265.jpg"/><Relationship Id="rId373" Type="http://schemas.openxmlformats.org/officeDocument/2006/relationships/image" Target="../media/5df158d866a11955b6751624edc247e6.jpg"/><Relationship Id="rId374" Type="http://schemas.openxmlformats.org/officeDocument/2006/relationships/image" Target="../media/fef95095eb756f12f7398240649d8b9b.jpg"/><Relationship Id="rId375" Type="http://schemas.openxmlformats.org/officeDocument/2006/relationships/image" Target="../media/9ecf21c7f330c0d413eafe84c7c891e3.jpg"/><Relationship Id="rId376" Type="http://schemas.openxmlformats.org/officeDocument/2006/relationships/image" Target="../media/00497c96a47a5f374f0e132f20fee568.jpg"/><Relationship Id="rId377" Type="http://schemas.openxmlformats.org/officeDocument/2006/relationships/image" Target="../media/292cd95d4ad9a4f7ee68908359770df0.jpg"/><Relationship Id="rId378" Type="http://schemas.openxmlformats.org/officeDocument/2006/relationships/image" Target="../media/6191982501e38c41f144cf069fe4e66b.jpg"/><Relationship Id="rId379" Type="http://schemas.openxmlformats.org/officeDocument/2006/relationships/image" Target="../media/3afa9c5745549e870c2d930b1faa796b.jpg"/><Relationship Id="rId380" Type="http://schemas.openxmlformats.org/officeDocument/2006/relationships/image" Target="../media/6f6d618e1123f29a3b70ec74a6ccd944.jpg"/><Relationship Id="rId381" Type="http://schemas.openxmlformats.org/officeDocument/2006/relationships/image" Target="../media/166f812915cdb777f397f6de1e79e0b6.jpg"/><Relationship Id="rId382" Type="http://schemas.openxmlformats.org/officeDocument/2006/relationships/image" Target="../media/8d15d9eb4dd1464f62568b298f47e726.jpg"/><Relationship Id="rId383" Type="http://schemas.openxmlformats.org/officeDocument/2006/relationships/image" Target="../media/14bc8207d62ec44f223e1b2e4c86fd2c.jpg"/><Relationship Id="rId384" Type="http://schemas.openxmlformats.org/officeDocument/2006/relationships/image" Target="../media/15f4e21f95a2050e400a80d06463b984.jpg"/><Relationship Id="rId385" Type="http://schemas.openxmlformats.org/officeDocument/2006/relationships/image" Target="../media/44b103514d5ec105c7cd8b431942ae04.jpg"/><Relationship Id="rId386" Type="http://schemas.openxmlformats.org/officeDocument/2006/relationships/image" Target="../media/48cbd8bab585c8c6878eec6020dd7e1c.jpg"/><Relationship Id="rId387" Type="http://schemas.openxmlformats.org/officeDocument/2006/relationships/image" Target="../media/b9d2eaf7fcb917794f395dbc06ace885.jpg"/><Relationship Id="rId388" Type="http://schemas.openxmlformats.org/officeDocument/2006/relationships/image" Target="../media/52941519a5384a240d1e593c3d01c1dc.jpg"/><Relationship Id="rId389" Type="http://schemas.openxmlformats.org/officeDocument/2006/relationships/image" Target="../media/32264566d4f5cca67b5a641c571c31ab.jpg"/><Relationship Id="rId390" Type="http://schemas.openxmlformats.org/officeDocument/2006/relationships/image" Target="../media/0efd2d4522aa26611813ff5a6eabeee8.jpg"/><Relationship Id="rId391" Type="http://schemas.openxmlformats.org/officeDocument/2006/relationships/image" Target="../media/c0af1bd90dfc7654718d81e32b79d789.jpg"/><Relationship Id="rId392" Type="http://schemas.openxmlformats.org/officeDocument/2006/relationships/image" Target="../media/6713f5e1b7d4350e110652eb4fa708ee.jpg"/><Relationship Id="rId393" Type="http://schemas.openxmlformats.org/officeDocument/2006/relationships/image" Target="../media/9f2bc6dce66e8c6f298ca5dfa0ef3a14.jpg"/><Relationship Id="rId394" Type="http://schemas.openxmlformats.org/officeDocument/2006/relationships/image" Target="../media/463d15db1c425b477b5e85363260ec4c.jpg"/><Relationship Id="rId395" Type="http://schemas.openxmlformats.org/officeDocument/2006/relationships/image" Target="../media/6ddf5dfc91910f983102b639cdfa44d8.jpg"/><Relationship Id="rId396" Type="http://schemas.openxmlformats.org/officeDocument/2006/relationships/image" Target="../media/515cb16c5d800747ab23f2c1aa6073c6.jpg"/><Relationship Id="rId397" Type="http://schemas.openxmlformats.org/officeDocument/2006/relationships/image" Target="../media/e0a912c63a0560f9888d1f9d3a9843e8.jpg"/><Relationship Id="rId398" Type="http://schemas.openxmlformats.org/officeDocument/2006/relationships/image" Target="../media/b90b31833ab09c888b0c2f269bbf434f.jpg"/><Relationship Id="rId399" Type="http://schemas.openxmlformats.org/officeDocument/2006/relationships/image" Target="../media/53fa621b77981df3d1de9a5cfddcfc28.jpg"/><Relationship Id="rId400" Type="http://schemas.openxmlformats.org/officeDocument/2006/relationships/image" Target="../media/09a154c3838b7a2a742e2e68bf787ab2.jpg"/><Relationship Id="rId401" Type="http://schemas.openxmlformats.org/officeDocument/2006/relationships/image" Target="../media/5932f34725ad6ccfc9dd3ec45528fc22.jpg"/><Relationship Id="rId402" Type="http://schemas.openxmlformats.org/officeDocument/2006/relationships/image" Target="../media/38473631c3080170665f21aef4705d0c.jpg"/><Relationship Id="rId403" Type="http://schemas.openxmlformats.org/officeDocument/2006/relationships/image" Target="../media/d9b7069a537ef9e68f19fc468beb6eca.jpg"/><Relationship Id="rId404" Type="http://schemas.openxmlformats.org/officeDocument/2006/relationships/image" Target="../media/cced960a73a5b2d4bb5daa92c0a6473b.jpg"/><Relationship Id="rId405" Type="http://schemas.openxmlformats.org/officeDocument/2006/relationships/image" Target="../media/00ee215e28e766b6c8d9e311c2c9d7fd.jpg"/><Relationship Id="rId406" Type="http://schemas.openxmlformats.org/officeDocument/2006/relationships/image" Target="../media/8a92b3200e0fe26fc2e524eaf7ac87b5.jpg"/><Relationship Id="rId407" Type="http://schemas.openxmlformats.org/officeDocument/2006/relationships/image" Target="../media/3955103cfca1049bef9c10d103c34df9.jpg"/><Relationship Id="rId408" Type="http://schemas.openxmlformats.org/officeDocument/2006/relationships/image" Target="../media/364f24f2d7ee322f074bc40ca43aaa92.jpg"/><Relationship Id="rId409" Type="http://schemas.openxmlformats.org/officeDocument/2006/relationships/image" Target="../media/70aa2c43281a73a0d1182334eddf6248.jpg"/><Relationship Id="rId410" Type="http://schemas.openxmlformats.org/officeDocument/2006/relationships/image" Target="../media/8eaaa7faacaf13318c5e5afe1c08ea66.jpg"/><Relationship Id="rId411" Type="http://schemas.openxmlformats.org/officeDocument/2006/relationships/image" Target="../media/14186baa6d893bfaf3fa84793390c098.jpg"/><Relationship Id="rId412" Type="http://schemas.openxmlformats.org/officeDocument/2006/relationships/image" Target="../media/ed626f4812d57464b8cedab2b116b993.jpg"/><Relationship Id="rId413" Type="http://schemas.openxmlformats.org/officeDocument/2006/relationships/image" Target="../media/09d757a96f3386005524ef4710e73046.jpg"/><Relationship Id="rId414" Type="http://schemas.openxmlformats.org/officeDocument/2006/relationships/image" Target="../media/15ae239027c0857a18dd9dd04b344e48.jpg"/><Relationship Id="rId415" Type="http://schemas.openxmlformats.org/officeDocument/2006/relationships/image" Target="../media/c338d4925b5c8f6ce62a895e2b81cefd.jpg"/><Relationship Id="rId416" Type="http://schemas.openxmlformats.org/officeDocument/2006/relationships/image" Target="../media/71f0d8d5093b619e41681475d8b29b8c.jpg"/><Relationship Id="rId417" Type="http://schemas.openxmlformats.org/officeDocument/2006/relationships/image" Target="../media/5838831e4b1171510780d995efb38889.jpg"/><Relationship Id="rId418" Type="http://schemas.openxmlformats.org/officeDocument/2006/relationships/image" Target="../media/11d6a3540bd38a7348d979e1688b98d3.jpg"/><Relationship Id="rId419" Type="http://schemas.openxmlformats.org/officeDocument/2006/relationships/image" Target="../media/bb4484ca334fb38bfa77726fa8e5d759.jpg"/><Relationship Id="rId420" Type="http://schemas.openxmlformats.org/officeDocument/2006/relationships/image" Target="../media/ee976b1133e26e8e99bb39b3de8de0fd.jpg"/><Relationship Id="rId421" Type="http://schemas.openxmlformats.org/officeDocument/2006/relationships/image" Target="../media/99876d956c7645c9115d6b8737367a7f.jpg"/><Relationship Id="rId422" Type="http://schemas.openxmlformats.org/officeDocument/2006/relationships/image" Target="../media/d8075dc9d7f37f49dfa3fc30291dcf77.jpg"/><Relationship Id="rId423" Type="http://schemas.openxmlformats.org/officeDocument/2006/relationships/image" Target="../media/b1de37f5b49e5986393c83423822c446.jpg"/><Relationship Id="rId424" Type="http://schemas.openxmlformats.org/officeDocument/2006/relationships/image" Target="../media/f3690abf40efe7bb25d0c2232a325143.jpg"/><Relationship Id="rId425" Type="http://schemas.openxmlformats.org/officeDocument/2006/relationships/image" Target="../media/a31aa640ccecb08be27c753d277393fd.jpg"/><Relationship Id="rId426" Type="http://schemas.openxmlformats.org/officeDocument/2006/relationships/image" Target="../media/b23d3c8754f9ad7cb2ccdf193eee25d2.jpg"/><Relationship Id="rId427" Type="http://schemas.openxmlformats.org/officeDocument/2006/relationships/image" Target="../media/e5862877519f32b3f3cbd7097c47871a.jpg"/><Relationship Id="rId428" Type="http://schemas.openxmlformats.org/officeDocument/2006/relationships/image" Target="../media/2f63ff93986c6f9356b1c6e3529fc32f.jpg"/><Relationship Id="rId429" Type="http://schemas.openxmlformats.org/officeDocument/2006/relationships/image" Target="../media/7fae1bcffc5b9ec78b8988359111fe1c.jpg"/><Relationship Id="rId430" Type="http://schemas.openxmlformats.org/officeDocument/2006/relationships/image" Target="../media/2dccf0a06f40ecb83c8f678a9b05538a.jpg"/><Relationship Id="rId431" Type="http://schemas.openxmlformats.org/officeDocument/2006/relationships/image" Target="../media/5a1c7b1396fc1197ff73bb43b924cd3b.jpg"/><Relationship Id="rId432" Type="http://schemas.openxmlformats.org/officeDocument/2006/relationships/image" Target="../media/29f712102de4a1ab82ab2dd61a1cb0a9.jpg"/><Relationship Id="rId433" Type="http://schemas.openxmlformats.org/officeDocument/2006/relationships/image" Target="../media/4206c7554eece3c6ac6c94ccdfb3ff47.jpg"/><Relationship Id="rId434" Type="http://schemas.openxmlformats.org/officeDocument/2006/relationships/image" Target="../media/93de1b3e023c10f18d84beb094b8276c.jpg"/><Relationship Id="rId435" Type="http://schemas.openxmlformats.org/officeDocument/2006/relationships/image" Target="../media/32f9ac3c8eb03743d5b240ed39b6e9aa.jpg"/><Relationship Id="rId436" Type="http://schemas.openxmlformats.org/officeDocument/2006/relationships/image" Target="../media/2bb425b157a4b1076edb5344718019a3.jpg"/><Relationship Id="rId437" Type="http://schemas.openxmlformats.org/officeDocument/2006/relationships/image" Target="../media/4d8710c9e35491f53ad443a74c4a2b11.jpg"/><Relationship Id="rId438" Type="http://schemas.openxmlformats.org/officeDocument/2006/relationships/image" Target="../media/612ebb24dbc0e914e371d87bdafa3773.jpg"/><Relationship Id="rId439" Type="http://schemas.openxmlformats.org/officeDocument/2006/relationships/image" Target="../media/db3f68f4747de84853f9689159aaf3d2.jpg"/><Relationship Id="rId440" Type="http://schemas.openxmlformats.org/officeDocument/2006/relationships/image" Target="../media/140da7bc4737423f37b9da00d2843754.jpg"/><Relationship Id="rId441" Type="http://schemas.openxmlformats.org/officeDocument/2006/relationships/image" Target="../media/ccd730f89e863f0f4ed6be0ffc36ff5a.jpg"/><Relationship Id="rId442" Type="http://schemas.openxmlformats.org/officeDocument/2006/relationships/image" Target="../media/6fa8c3987caa8690a77a6780c1ef55e1.jpg"/><Relationship Id="rId443" Type="http://schemas.openxmlformats.org/officeDocument/2006/relationships/image" Target="../media/94868cb70545da46fe21f139d2d93435.jpg"/><Relationship Id="rId444" Type="http://schemas.openxmlformats.org/officeDocument/2006/relationships/image" Target="../media/4dc3e4a40324331663fa95b3a29cdf90.jpg"/><Relationship Id="rId445" Type="http://schemas.openxmlformats.org/officeDocument/2006/relationships/image" Target="../media/348bbb599d76c4750d8233bccade922f.jpg"/><Relationship Id="rId446" Type="http://schemas.openxmlformats.org/officeDocument/2006/relationships/image" Target="../media/449a1a3b64c405ccb673a165d27a0d56.jpg"/><Relationship Id="rId447" Type="http://schemas.openxmlformats.org/officeDocument/2006/relationships/image" Target="../media/5085c481acb9d34107351f92be0291ed.jpg"/><Relationship Id="rId448" Type="http://schemas.openxmlformats.org/officeDocument/2006/relationships/image" Target="../media/33abd3fd37f27d10d8cad7b9d0fc827a.jpg"/><Relationship Id="rId449" Type="http://schemas.openxmlformats.org/officeDocument/2006/relationships/image" Target="../media/ddf49c337aaf9f57cbd7a34af8b426dc.jpg"/><Relationship Id="rId450" Type="http://schemas.openxmlformats.org/officeDocument/2006/relationships/image" Target="../media/f2d4d38603f010b9dfb2cbaa825a083c.jpg"/><Relationship Id="rId451" Type="http://schemas.openxmlformats.org/officeDocument/2006/relationships/image" Target="../media/6972c37426fd15e9e588ddedb6df6e14.jpg"/><Relationship Id="rId452" Type="http://schemas.openxmlformats.org/officeDocument/2006/relationships/image" Target="../media/770d8e3d5a3c81215fdb0b59fc5a8c06.jpg"/><Relationship Id="rId453" Type="http://schemas.openxmlformats.org/officeDocument/2006/relationships/image" Target="../media/4d6c0afbafcc25c31843c7ee609f8ab4.jpg"/><Relationship Id="rId454" Type="http://schemas.openxmlformats.org/officeDocument/2006/relationships/image" Target="../media/80dde6c7b0886593ed9abcf6681b2018.jpg"/><Relationship Id="rId455" Type="http://schemas.openxmlformats.org/officeDocument/2006/relationships/image" Target="../media/7c1eaa84633a93e89dac08ef6c680e3d.jpg"/><Relationship Id="rId456" Type="http://schemas.openxmlformats.org/officeDocument/2006/relationships/image" Target="../media/265d3e04761ea72d90b266a26dbf995a.jpg"/><Relationship Id="rId457" Type="http://schemas.openxmlformats.org/officeDocument/2006/relationships/image" Target="../media/c4cb4b2a1f7056fad6c936661a3fcca4.jpg"/><Relationship Id="rId458" Type="http://schemas.openxmlformats.org/officeDocument/2006/relationships/image" Target="../media/4ed003054f8dc2c8bb763f12bbcc49d1.jpg"/><Relationship Id="rId459" Type="http://schemas.openxmlformats.org/officeDocument/2006/relationships/image" Target="../media/164f7507b44ee42cfef3fa6602ede744.jpg"/><Relationship Id="rId460" Type="http://schemas.openxmlformats.org/officeDocument/2006/relationships/image" Target="../media/6e3955d53d10a2e683a335ba555bb0b4.jpg"/><Relationship Id="rId461" Type="http://schemas.openxmlformats.org/officeDocument/2006/relationships/image" Target="../media/bf2808fb64ad0f79886f82b00444923f.jpg"/><Relationship Id="rId462" Type="http://schemas.openxmlformats.org/officeDocument/2006/relationships/image" Target="../media/a5935810f2b7f35abc1a31e89dd3dc97.jpg"/><Relationship Id="rId463" Type="http://schemas.openxmlformats.org/officeDocument/2006/relationships/image" Target="../media/6cc9fbfc8573552f6ad40d7d09c9b599.jpg"/><Relationship Id="rId464" Type="http://schemas.openxmlformats.org/officeDocument/2006/relationships/image" Target="../media/67721587351af6f8229642ddaa8706b7.jpg"/><Relationship Id="rId465" Type="http://schemas.openxmlformats.org/officeDocument/2006/relationships/image" Target="../media/a86855a385ab54f44f044796afd7f307.jpg"/><Relationship Id="rId466" Type="http://schemas.openxmlformats.org/officeDocument/2006/relationships/image" Target="../media/d5acf548d27023a25b389d49cc4ed126.jpg"/><Relationship Id="rId467" Type="http://schemas.openxmlformats.org/officeDocument/2006/relationships/image" Target="../media/f7e0f4bb7efb8d402d3db2e0e5c88236.jpg"/><Relationship Id="rId468" Type="http://schemas.openxmlformats.org/officeDocument/2006/relationships/image" Target="../media/675b6b4eae08e638ac449103fb8b12e8.jpg"/><Relationship Id="rId469" Type="http://schemas.openxmlformats.org/officeDocument/2006/relationships/image" Target="../media/c0b785ec96cd7e618b3da2328ad5e73c.jpg"/><Relationship Id="rId470" Type="http://schemas.openxmlformats.org/officeDocument/2006/relationships/image" Target="../media/6f6cef2227556ba8e7fb31f186fc82a3.jpg"/><Relationship Id="rId471" Type="http://schemas.openxmlformats.org/officeDocument/2006/relationships/image" Target="../media/19f1f9a63f4b7aa1fa5e0f436f699662.jpg"/><Relationship Id="rId472" Type="http://schemas.openxmlformats.org/officeDocument/2006/relationships/image" Target="../media/50e1edad6315ca9bb75d177be4a80bad.jpg"/><Relationship Id="rId473" Type="http://schemas.openxmlformats.org/officeDocument/2006/relationships/image" Target="../media/36308efcdaea62f1c12feb0a41c38454.jpg"/><Relationship Id="rId474" Type="http://schemas.openxmlformats.org/officeDocument/2006/relationships/image" Target="../media/fed41832c55176e2f392e1b1b4060ed1.jpg"/><Relationship Id="rId475" Type="http://schemas.openxmlformats.org/officeDocument/2006/relationships/image" Target="../media/303e21f8edb87cb48ad349b23a5c6a67.jpg"/><Relationship Id="rId476" Type="http://schemas.openxmlformats.org/officeDocument/2006/relationships/image" Target="../media/9a4ac871d275bd42e29f274783b07217.jpg"/><Relationship Id="rId477" Type="http://schemas.openxmlformats.org/officeDocument/2006/relationships/image" Target="../media/bafabe75b377a0bf8a29856b36f1a45d.jpg"/><Relationship Id="rId478" Type="http://schemas.openxmlformats.org/officeDocument/2006/relationships/image" Target="../media/8312f5bf6393c98fd179ca712412dd66.jpg"/><Relationship Id="rId479" Type="http://schemas.openxmlformats.org/officeDocument/2006/relationships/image" Target="../media/4fc25119e7a2f72d00924df10f7104a4.jpg"/><Relationship Id="rId480" Type="http://schemas.openxmlformats.org/officeDocument/2006/relationships/image" Target="../media/738c52c8efba5c00ab81454a728dcca9.jpg"/><Relationship Id="rId481" Type="http://schemas.openxmlformats.org/officeDocument/2006/relationships/image" Target="../media/9226e79e3449eece4bba52ac0f8e2e65.jpg"/><Relationship Id="rId482" Type="http://schemas.openxmlformats.org/officeDocument/2006/relationships/image" Target="../media/97986254a96c07d143a90b6fe90f7bb1.jpg"/><Relationship Id="rId483" Type="http://schemas.openxmlformats.org/officeDocument/2006/relationships/image" Target="../media/dc02264c424c95445f083a4221e05d0e.jpg"/><Relationship Id="rId484" Type="http://schemas.openxmlformats.org/officeDocument/2006/relationships/image" Target="../media/9f11ca8656c6101ceacbec86df34112e.jpg"/><Relationship Id="rId485" Type="http://schemas.openxmlformats.org/officeDocument/2006/relationships/image" Target="../media/3230ebe12c316fd35bc62891fcd8bf09.jpg"/><Relationship Id="rId486" Type="http://schemas.openxmlformats.org/officeDocument/2006/relationships/image" Target="../media/9dbe43f1d2cd5d8a31354c48727efedb.jpg"/><Relationship Id="rId487" Type="http://schemas.openxmlformats.org/officeDocument/2006/relationships/image" Target="../media/6811f073c5564939a00dcbf78f912c05.jpg"/><Relationship Id="rId488" Type="http://schemas.openxmlformats.org/officeDocument/2006/relationships/image" Target="../media/e0a731c2cad2d55609daaaf4d616346d.jpg"/><Relationship Id="rId489" Type="http://schemas.openxmlformats.org/officeDocument/2006/relationships/image" Target="../media/9e144fc5cb43294eaf79b9cb1a9bb449.jpg"/><Relationship Id="rId490" Type="http://schemas.openxmlformats.org/officeDocument/2006/relationships/image" Target="../media/90ff264b98f78184ccbf4c9b03edf04a.jpg"/><Relationship Id="rId491" Type="http://schemas.openxmlformats.org/officeDocument/2006/relationships/image" Target="../media/9db91717177f795ec2a59f92c7845abf.jpg"/><Relationship Id="rId492" Type="http://schemas.openxmlformats.org/officeDocument/2006/relationships/image" Target="../media/9b431bb28d2233e78d5e525428ff54d3.jpg"/><Relationship Id="rId493" Type="http://schemas.openxmlformats.org/officeDocument/2006/relationships/image" Target="../media/a0d5a0528775eae5bc832b2f5bda1d09.jpg"/><Relationship Id="rId494" Type="http://schemas.openxmlformats.org/officeDocument/2006/relationships/image" Target="../media/c9209792b6cb9a22fe66a3ed7a3ddfb8.jpg"/><Relationship Id="rId495" Type="http://schemas.openxmlformats.org/officeDocument/2006/relationships/image" Target="../media/a209b575df2786740557f8a5277619ba.jpg"/><Relationship Id="rId496" Type="http://schemas.openxmlformats.org/officeDocument/2006/relationships/image" Target="../media/b669cc9e3743d8a5c6c85034928a0bb1.jpg"/><Relationship Id="rId497" Type="http://schemas.openxmlformats.org/officeDocument/2006/relationships/image" Target="../media/267b25116a694335ef08b0d010624418.jpg"/><Relationship Id="rId498" Type="http://schemas.openxmlformats.org/officeDocument/2006/relationships/image" Target="../media/3a9f3a5f209366d8e7f1a22e8775c014.jpg"/><Relationship Id="rId499" Type="http://schemas.openxmlformats.org/officeDocument/2006/relationships/image" Target="../media/ecb05e5fc69d369bcafb8745fa6e69d2.jpg"/><Relationship Id="rId500" Type="http://schemas.openxmlformats.org/officeDocument/2006/relationships/image" Target="../media/42949045c0ad7a68aeb83f7e477a3d02.jpg"/><Relationship Id="rId501" Type="http://schemas.openxmlformats.org/officeDocument/2006/relationships/image" Target="../media/3a51ecf4c6b8fd8536809d5b80891811.jpg"/><Relationship Id="rId502" Type="http://schemas.openxmlformats.org/officeDocument/2006/relationships/image" Target="../media/f1d548f29e8a14ddae0c49bf424ff54c.jpg"/><Relationship Id="rId503" Type="http://schemas.openxmlformats.org/officeDocument/2006/relationships/image" Target="../media/93750e6b7ec6d99e1542b9764d18ddd6.jpg"/><Relationship Id="rId504" Type="http://schemas.openxmlformats.org/officeDocument/2006/relationships/image" Target="../media/e12fe79f65ef682085f1ee485eaf8179.jpg"/><Relationship Id="rId505" Type="http://schemas.openxmlformats.org/officeDocument/2006/relationships/image" Target="../media/3c6d159e738e2d1281fbc5399956b1f9.jpg"/><Relationship Id="rId506" Type="http://schemas.openxmlformats.org/officeDocument/2006/relationships/image" Target="../media/d0d1779264c1aff205b22dd465dc62d5.jpg"/><Relationship Id="rId507" Type="http://schemas.openxmlformats.org/officeDocument/2006/relationships/image" Target="../media/e0b71273f8fb584841b2db2891342182.jpg"/><Relationship Id="rId508" Type="http://schemas.openxmlformats.org/officeDocument/2006/relationships/image" Target="../media/5746062ea70d918602517a87eb4fffc8.jpg"/><Relationship Id="rId509" Type="http://schemas.openxmlformats.org/officeDocument/2006/relationships/image" Target="../media/d64f7997b30973322b7f009007c94908.jpg"/><Relationship Id="rId510" Type="http://schemas.openxmlformats.org/officeDocument/2006/relationships/image" Target="../media/bb846eb023b53a142f596fbe09f93448.jpg"/><Relationship Id="rId511" Type="http://schemas.openxmlformats.org/officeDocument/2006/relationships/image" Target="../media/739b5a889d42ba036a5e93239e8f4a87.jpg"/><Relationship Id="rId512" Type="http://schemas.openxmlformats.org/officeDocument/2006/relationships/image" Target="../media/a2bd75a3b6c823025d378d7e283837b7.jpg"/><Relationship Id="rId513" Type="http://schemas.openxmlformats.org/officeDocument/2006/relationships/image" Target="../media/efcc1b1aac439dbaed8e4b7e4129f923.jpg"/><Relationship Id="rId514" Type="http://schemas.openxmlformats.org/officeDocument/2006/relationships/image" Target="../media/7238df17af0ee40d83c0f0686028e67d.jpg"/><Relationship Id="rId515" Type="http://schemas.openxmlformats.org/officeDocument/2006/relationships/image" Target="../media/6c6e9b3324b8f458903f277eace35c54.jpg"/><Relationship Id="rId516" Type="http://schemas.openxmlformats.org/officeDocument/2006/relationships/image" Target="../media/1dfa1a4f37fedcf59c349fe42c3b45f8.jpg"/><Relationship Id="rId517" Type="http://schemas.openxmlformats.org/officeDocument/2006/relationships/image" Target="../media/69339ffad2e3f9022a8a2be53f131c4b.jpg"/><Relationship Id="rId518" Type="http://schemas.openxmlformats.org/officeDocument/2006/relationships/image" Target="../media/fa338af890ec15236c33a72913ad7df6.jpg"/><Relationship Id="rId519" Type="http://schemas.openxmlformats.org/officeDocument/2006/relationships/image" Target="../media/b04ec4c6985f98dc194a6237bc0b2670.jpg"/><Relationship Id="rId520" Type="http://schemas.openxmlformats.org/officeDocument/2006/relationships/image" Target="../media/ad0066fa870780d5cefedcf8f3e7dd00.jpg"/><Relationship Id="rId521" Type="http://schemas.openxmlformats.org/officeDocument/2006/relationships/image" Target="../media/f21d5b2c4e5360c4bf97e287e9fb9837.jpg"/><Relationship Id="rId522" Type="http://schemas.openxmlformats.org/officeDocument/2006/relationships/image" Target="../media/bc5cdc59ddb52b2021554e2dd02f4fc2.jpg"/><Relationship Id="rId523" Type="http://schemas.openxmlformats.org/officeDocument/2006/relationships/image" Target="../media/5884844c5e4a900fd31d1b094eb1672e.jpg"/><Relationship Id="rId524" Type="http://schemas.openxmlformats.org/officeDocument/2006/relationships/image" Target="../media/c296889994834c0a670d69a9a264fca0.jpg"/><Relationship Id="rId525" Type="http://schemas.openxmlformats.org/officeDocument/2006/relationships/image" Target="../media/f8a2e0fac1350f3e566060d124c0c03b.jpg"/><Relationship Id="rId526" Type="http://schemas.openxmlformats.org/officeDocument/2006/relationships/image" Target="../media/08d84eaf007714df0547d15dda1c5ff8.jpg"/><Relationship Id="rId527" Type="http://schemas.openxmlformats.org/officeDocument/2006/relationships/image" Target="../media/d029efcafbd4501bea2a8193a30e8968.jpg"/><Relationship Id="rId528" Type="http://schemas.openxmlformats.org/officeDocument/2006/relationships/image" Target="../media/3d1013d2bbbd2540fc1d26ff8d21b862.jpg"/><Relationship Id="rId529" Type="http://schemas.openxmlformats.org/officeDocument/2006/relationships/image" Target="../media/78ba7ba0f540c97b5ab2acf0cad5248a.jpg"/><Relationship Id="rId530" Type="http://schemas.openxmlformats.org/officeDocument/2006/relationships/image" Target="../media/84af384fb1952e99cc586c21b06f630c.jpg"/><Relationship Id="rId531" Type="http://schemas.openxmlformats.org/officeDocument/2006/relationships/image" Target="../media/2f95b84754a269bf4e8544f49d2f8e67.jpg"/><Relationship Id="rId532" Type="http://schemas.openxmlformats.org/officeDocument/2006/relationships/image" Target="../media/f4d35d9f42899b83331a7cef4359a0cc.jpg"/><Relationship Id="rId533" Type="http://schemas.openxmlformats.org/officeDocument/2006/relationships/image" Target="../media/72c940ffa69a0dd4b0f6e3b530deb5fb.jpg"/><Relationship Id="rId534" Type="http://schemas.openxmlformats.org/officeDocument/2006/relationships/image" Target="../media/af18520f3d5c52fdfca724d2d61e2cd9.jpg"/><Relationship Id="rId535" Type="http://schemas.openxmlformats.org/officeDocument/2006/relationships/image" Target="../media/4594369d84b15c346078f7f49df0fc5e.jpg"/><Relationship Id="rId536" Type="http://schemas.openxmlformats.org/officeDocument/2006/relationships/image" Target="../media/d4e9fc1e6fd8345a8fcf59f04d0f10a0.jpg"/><Relationship Id="rId537" Type="http://schemas.openxmlformats.org/officeDocument/2006/relationships/image" Target="../media/33a3234a15c68a06190dfcd23d723c9e.jpg"/><Relationship Id="rId538" Type="http://schemas.openxmlformats.org/officeDocument/2006/relationships/image" Target="../media/8c8107599167a5903c03b802607f231d.jpg"/><Relationship Id="rId539" Type="http://schemas.openxmlformats.org/officeDocument/2006/relationships/image" Target="../media/12c8fc316ecd61950889ba7389b5abd6.jpg"/><Relationship Id="rId540" Type="http://schemas.openxmlformats.org/officeDocument/2006/relationships/image" Target="../media/c7ae1d94a904d94e2da78a58cd85f85d.jpg"/><Relationship Id="rId541" Type="http://schemas.openxmlformats.org/officeDocument/2006/relationships/image" Target="../media/7ab5c9aa0e0882875bfb35a5b4ee4d31.jpg"/><Relationship Id="rId542" Type="http://schemas.openxmlformats.org/officeDocument/2006/relationships/image" Target="../media/0d86dc035bd7064b000e4354feadbf35.jpg"/><Relationship Id="rId543" Type="http://schemas.openxmlformats.org/officeDocument/2006/relationships/image" Target="../media/4446d5aa6b8c57b4b4de524cdd40df2e.jpg"/><Relationship Id="rId544" Type="http://schemas.openxmlformats.org/officeDocument/2006/relationships/image" Target="../media/b4773f97b0c742b260e2e840b9338124.jpg"/><Relationship Id="rId545" Type="http://schemas.openxmlformats.org/officeDocument/2006/relationships/image" Target="../media/66b6f9b28c3db17c59f953679e990b5f.jpg"/><Relationship Id="rId546" Type="http://schemas.openxmlformats.org/officeDocument/2006/relationships/image" Target="../media/e519dc5533bc7fbc9881bfef269c9a56.jpg"/><Relationship Id="rId547" Type="http://schemas.openxmlformats.org/officeDocument/2006/relationships/image" Target="../media/8fd0f3898b0de0e1a1518519eb94a7bd.jpg"/><Relationship Id="rId548" Type="http://schemas.openxmlformats.org/officeDocument/2006/relationships/image" Target="../media/0ad7e0241886672b4f9675d9c00f58b0.jpg"/><Relationship Id="rId549" Type="http://schemas.openxmlformats.org/officeDocument/2006/relationships/image" Target="../media/1debcb2f01db5e6811527269f1e31bd2.jpg"/><Relationship Id="rId550" Type="http://schemas.openxmlformats.org/officeDocument/2006/relationships/image" Target="../media/bf6efcd5087e6eae87194f5468a5cb1b.jpg"/><Relationship Id="rId551" Type="http://schemas.openxmlformats.org/officeDocument/2006/relationships/image" Target="../media/c36309d55ecf490f0b84c1220ddaa41c.jpg"/><Relationship Id="rId552" Type="http://schemas.openxmlformats.org/officeDocument/2006/relationships/image" Target="../media/fd68ba28ad6facc25c0dc2a7edfda8e7.jpg"/><Relationship Id="rId553" Type="http://schemas.openxmlformats.org/officeDocument/2006/relationships/image" Target="../media/7c68bc86cfd77fe7cd9b916304dc5b86.jpg"/><Relationship Id="rId554" Type="http://schemas.openxmlformats.org/officeDocument/2006/relationships/image" Target="../media/187476b8466410d07440b6d91d058101.jpg"/><Relationship Id="rId555" Type="http://schemas.openxmlformats.org/officeDocument/2006/relationships/image" Target="../media/e557387dd00bafc418a8b83835c355c4.jpg"/><Relationship Id="rId556" Type="http://schemas.openxmlformats.org/officeDocument/2006/relationships/image" Target="../media/0346acb1c579fbc9e839ce2a5067b0a2.jpg"/><Relationship Id="rId557" Type="http://schemas.openxmlformats.org/officeDocument/2006/relationships/image" Target="../media/3825c1a35ab672f338ccc95e85966494.jpg"/><Relationship Id="rId558" Type="http://schemas.openxmlformats.org/officeDocument/2006/relationships/image" Target="../media/fae1fbbf45f91b660062e4f317180598.jpg"/><Relationship Id="rId559" Type="http://schemas.openxmlformats.org/officeDocument/2006/relationships/image" Target="../media/edfe92fb76b743ae7452a8a4cfe05afc.jpg"/><Relationship Id="rId560" Type="http://schemas.openxmlformats.org/officeDocument/2006/relationships/image" Target="../media/66ab3b7a6873041804b21f76e951bbe5.jpg"/><Relationship Id="rId561" Type="http://schemas.openxmlformats.org/officeDocument/2006/relationships/image" Target="../media/eef836cbcfc59b6aefde8d8ead03aa97.jpg"/><Relationship Id="rId562" Type="http://schemas.openxmlformats.org/officeDocument/2006/relationships/image" Target="../media/e33bc995d6b6aeed7ec697e6321729c8.jpg"/><Relationship Id="rId563" Type="http://schemas.openxmlformats.org/officeDocument/2006/relationships/image" Target="../media/7f9e8282facb722c6092f91dd4e75d8c.jpg"/><Relationship Id="rId564" Type="http://schemas.openxmlformats.org/officeDocument/2006/relationships/image" Target="../media/20ca3ce6a06343240673882ee19b098c.jpg"/><Relationship Id="rId565" Type="http://schemas.openxmlformats.org/officeDocument/2006/relationships/image" Target="../media/cb30d337e7e6ceff6dd33f0a9118205b.jpg"/><Relationship Id="rId566" Type="http://schemas.openxmlformats.org/officeDocument/2006/relationships/image" Target="../media/1807ae40464ce51e9e99370526867d73.jpg"/><Relationship Id="rId567" Type="http://schemas.openxmlformats.org/officeDocument/2006/relationships/image" Target="../media/bf854c36bfab2198dce4a562e8b9b3b3.jpg"/><Relationship Id="rId568" Type="http://schemas.openxmlformats.org/officeDocument/2006/relationships/image" Target="../media/7c7bee6459b239a47a26e6c0138ccb90.jpg"/><Relationship Id="rId569" Type="http://schemas.openxmlformats.org/officeDocument/2006/relationships/image" Target="../media/ebba892351fc4fe550292f37f434f21e.jpg"/><Relationship Id="rId570" Type="http://schemas.openxmlformats.org/officeDocument/2006/relationships/image" Target="../media/c5245b882e4795d2657c76541456bb50.jpg"/><Relationship Id="rId571" Type="http://schemas.openxmlformats.org/officeDocument/2006/relationships/image" Target="../media/138bbb8d4116d5b6e0d2b4b44db825d5.jpg"/><Relationship Id="rId572" Type="http://schemas.openxmlformats.org/officeDocument/2006/relationships/image" Target="../media/25aba77629679a67e11018e14b697b22.jpg"/><Relationship Id="rId573" Type="http://schemas.openxmlformats.org/officeDocument/2006/relationships/image" Target="../media/99baf10fc879353c4ef4824728e7e560.jpg"/><Relationship Id="rId574" Type="http://schemas.openxmlformats.org/officeDocument/2006/relationships/image" Target="../media/68b93883b33737e8a0b98aaff87bd433.jpg"/><Relationship Id="rId575" Type="http://schemas.openxmlformats.org/officeDocument/2006/relationships/image" Target="../media/de7e0db7c5028d7cdabf73160d613f8d.jpg"/><Relationship Id="rId576" Type="http://schemas.openxmlformats.org/officeDocument/2006/relationships/image" Target="../media/cac4c964b7b7c2eddf8b5f65ed463208.jpg"/><Relationship Id="rId577" Type="http://schemas.openxmlformats.org/officeDocument/2006/relationships/image" Target="../media/45be6ad8ad61a08215dc533f19401d94.jpg"/><Relationship Id="rId578" Type="http://schemas.openxmlformats.org/officeDocument/2006/relationships/image" Target="../media/eb05d6dfe9c336f3e693555ee94a1e35.jpg"/><Relationship Id="rId579" Type="http://schemas.openxmlformats.org/officeDocument/2006/relationships/image" Target="../media/dd864a09a1b3a4eb0332953c588e2dbc.jpg"/><Relationship Id="rId580" Type="http://schemas.openxmlformats.org/officeDocument/2006/relationships/image" Target="../media/b6943ba99b9b8dd80af16d6f488e2d11.jpg"/><Relationship Id="rId581" Type="http://schemas.openxmlformats.org/officeDocument/2006/relationships/image" Target="../media/566d2d737cb64c999f9232e191629558.jpg"/><Relationship Id="rId582" Type="http://schemas.openxmlformats.org/officeDocument/2006/relationships/image" Target="../media/685ac634ef6aa5c0d544442eae9e29e0.jpg"/><Relationship Id="rId583" Type="http://schemas.openxmlformats.org/officeDocument/2006/relationships/image" Target="../media/c62efc8959820ff63d81e46256c86fbf.jpg"/><Relationship Id="rId584" Type="http://schemas.openxmlformats.org/officeDocument/2006/relationships/image" Target="../media/2860da33496351764e4cf831cc1ab835.jpg"/><Relationship Id="rId585" Type="http://schemas.openxmlformats.org/officeDocument/2006/relationships/image" Target="../media/87469e861c42d5df84cf9523192714ce.jpg"/><Relationship Id="rId586" Type="http://schemas.openxmlformats.org/officeDocument/2006/relationships/image" Target="../media/a47ca93f4bf41b951005f7a24f864ae9.jpg"/><Relationship Id="rId587" Type="http://schemas.openxmlformats.org/officeDocument/2006/relationships/image" Target="../media/c748a308fbfdf32d840a3c7506836c25.jpg"/><Relationship Id="rId588" Type="http://schemas.openxmlformats.org/officeDocument/2006/relationships/image" Target="../media/efd902465ac798ff171506d8e498f371.jpg"/><Relationship Id="rId589" Type="http://schemas.openxmlformats.org/officeDocument/2006/relationships/image" Target="../media/6ed2d5394a03ec2446ffed4a10e5f701.jpg"/><Relationship Id="rId590" Type="http://schemas.openxmlformats.org/officeDocument/2006/relationships/image" Target="../media/06ddb2d2d151fc98f1f3461beaecf417.jpg"/><Relationship Id="rId591" Type="http://schemas.openxmlformats.org/officeDocument/2006/relationships/image" Target="../media/e7e9d2466f0be1c369cc96914f88032a.jpg"/><Relationship Id="rId592" Type="http://schemas.openxmlformats.org/officeDocument/2006/relationships/image" Target="../media/9148691d792fd9343f479fc8b45f9112.jpg"/><Relationship Id="rId593" Type="http://schemas.openxmlformats.org/officeDocument/2006/relationships/image" Target="../media/b15ad605ab153a89ea6e2b4bb28a01a6.jpg"/><Relationship Id="rId594" Type="http://schemas.openxmlformats.org/officeDocument/2006/relationships/image" Target="../media/a34be098ebbb18e0e43d5f14873d6872.jpg"/><Relationship Id="rId595" Type="http://schemas.openxmlformats.org/officeDocument/2006/relationships/image" Target="../media/f41eb8d6e501df9d6823d2dc9d8616b4.jpg"/><Relationship Id="rId596" Type="http://schemas.openxmlformats.org/officeDocument/2006/relationships/image" Target="../media/6619a633e82bef1f385a7eb451e2173b.jpg"/><Relationship Id="rId597" Type="http://schemas.openxmlformats.org/officeDocument/2006/relationships/image" Target="../media/5f0c71688c3516cb07c259f06e49f0ff.jpg"/><Relationship Id="rId598" Type="http://schemas.openxmlformats.org/officeDocument/2006/relationships/image" Target="../media/3ab4a75bb911a06b603d70dda9433451.jpg"/><Relationship Id="rId599" Type="http://schemas.openxmlformats.org/officeDocument/2006/relationships/image" Target="../media/eacbd09d62f90c63bf3d8084a4050cf5.jpg"/><Relationship Id="rId600" Type="http://schemas.openxmlformats.org/officeDocument/2006/relationships/image" Target="../media/d705c05e6dbd49ecb7a91adab73d2f2d.jpg"/><Relationship Id="rId601" Type="http://schemas.openxmlformats.org/officeDocument/2006/relationships/image" Target="../media/18f768b4e6d0f0830f87ecf96bee7d53.jpg"/><Relationship Id="rId602" Type="http://schemas.openxmlformats.org/officeDocument/2006/relationships/image" Target="../media/352f8533625d5e4ef4c11e4e2f143725.jpg"/><Relationship Id="rId603" Type="http://schemas.openxmlformats.org/officeDocument/2006/relationships/image" Target="../media/9f2d2202ce23adbf317b99f89b3b7b2d.jpg"/><Relationship Id="rId604" Type="http://schemas.openxmlformats.org/officeDocument/2006/relationships/image" Target="../media/eb4ef0482b1a1522d0c278fed1d952b4.jpg"/><Relationship Id="rId605" Type="http://schemas.openxmlformats.org/officeDocument/2006/relationships/image" Target="../media/115a3ffed18668dee3d66e4923be970b.jpg"/><Relationship Id="rId606" Type="http://schemas.openxmlformats.org/officeDocument/2006/relationships/image" Target="../media/25df4de6880f75d0811ec2175e92815f.jpg"/><Relationship Id="rId607" Type="http://schemas.openxmlformats.org/officeDocument/2006/relationships/image" Target="../media/41c2b1d9cd96f0f5e690357f789fd6e8.jpg"/><Relationship Id="rId608" Type="http://schemas.openxmlformats.org/officeDocument/2006/relationships/image" Target="../media/2eff8b4c494233e36b693acbef804861.jpg"/><Relationship Id="rId609" Type="http://schemas.openxmlformats.org/officeDocument/2006/relationships/image" Target="../media/79b51b5a67ffaedb890f70d31061bfdd.jpg"/><Relationship Id="rId610" Type="http://schemas.openxmlformats.org/officeDocument/2006/relationships/image" Target="../media/7361435006efb4ed206753ba3a3b866a.jpg"/><Relationship Id="rId611" Type="http://schemas.openxmlformats.org/officeDocument/2006/relationships/image" Target="../media/3e9f32ae67e562db82691b5bab27a325.jpg"/><Relationship Id="rId612" Type="http://schemas.openxmlformats.org/officeDocument/2006/relationships/image" Target="../media/457b4833c49ee5314c038f41429f1e74.jpg"/><Relationship Id="rId613" Type="http://schemas.openxmlformats.org/officeDocument/2006/relationships/image" Target="../media/55725c1793214b928ae02d507adcb430.jpg"/><Relationship Id="rId614" Type="http://schemas.openxmlformats.org/officeDocument/2006/relationships/image" Target="../media/806c35ca39196e6a1e820f1e65853b53.jpg"/><Relationship Id="rId615" Type="http://schemas.openxmlformats.org/officeDocument/2006/relationships/image" Target="../media/6d5ce3741f087877c8b69ae735716fc9.jpg"/><Relationship Id="rId616" Type="http://schemas.openxmlformats.org/officeDocument/2006/relationships/image" Target="../media/23d875166c5f6480113a8b297a2cc6e7.jpg"/><Relationship Id="rId617" Type="http://schemas.openxmlformats.org/officeDocument/2006/relationships/image" Target="../media/b7203df53cbbde1cfc9bb59483c9981c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38175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13</xdr:row>
      <xdr:rowOff>38100</xdr:rowOff>
    </xdr:from>
    <xdr:ext cx="600075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38100</xdr:rowOff>
    </xdr:from>
    <xdr:ext cx="59055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15</xdr:row>
      <xdr:rowOff>38100</xdr:rowOff>
    </xdr:from>
    <xdr:ext cx="51435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2" name="photo_17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3" name="photo_17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4" name="photo_180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5" name="photo_181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6" name="photo_182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7" name="photo_183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8" name="photo_18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9" name="photo_185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80" name="photo_186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1" name="photo_18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2" name="photo_18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3" name="photo_189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4" name="photo_190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5" name="photo_191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6" name="photo_192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7" name="photo_193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8" name="photo_194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9" name="photo_195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90" name="photo_196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1" name="photo_197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2" name="photo_198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3" name="photo_199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4" name="photo_200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5" name="photo_201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6" name="photo_202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7" name="photo_203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8" name="photo_204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9" name="photo_205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200" name="photo_20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1" name="photo_207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2" name="photo_208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3" name="photo_209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4" name="photo_210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5" name="photo_211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6" name="photo_212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7" name="photo_213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8" name="photo_214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9" name="photo_21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10" name="photo_21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1" name="photo_217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2" name="photo_218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3" name="photo_219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4" name="photo_220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5" name="photo_221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6" name="photo_222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7" name="photo_223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8" name="photo_224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9" name="photo_225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20" name="photo_226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1" name="photo_227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2" name="photo_228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3" name="photo_229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4" name="photo_230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5" name="photo_231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6" name="photo_232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7" name="photo_233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8" name="photo_234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9" name="photo_235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30" name="photo_236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1" name="photo_237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2" name="photo_238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3" name="photo_239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4" name="photo_240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5" name="photo_241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6" name="photo_242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7" name="photo_243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8" name="photo_244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9" name="photo_245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40" name="photo_246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1" name="photo_247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2" name="photo_248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3" name="photo_249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4" name="photo_250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5" name="photo_251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6" name="photo_252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7" name="photo_253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8" name="photo_254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9" name="photo_255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50" name="photo_256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1" name="photo_257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2" name="photo_258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3" name="photo_259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4" name="photo_260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5" name="photo_261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6" name="photo_262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7" name="photo_263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8" name="photo_264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9" name="photo_265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60" name="photo_266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1" name="photo_267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2" name="photo_268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3" name="photo_269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4" name="photo_270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5" name="photo_271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6" name="photo_272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7" name="photo_273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8" name="photo_274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9" name="photo_275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70" name="photo_276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71" name="photo_277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2" name="photo_278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3" name="photo_279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4" name="photo_280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5" name="photo_281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6" name="photo_282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7" name="photo_283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8" name="photo_284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9" name="photo_285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80" name="photo_286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81" name="photo_287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2" name="photo_288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288</xdr:row>
      <xdr:rowOff>38100</xdr:rowOff>
    </xdr:from>
    <xdr:ext cx="647700" cy="647700"/>
    <xdr:pic>
      <xdr:nvPicPr>
        <xdr:cNvPr id="283" name="photo_289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4" name="photo_290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5" name="photo_291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6" name="photo_292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7" name="photo_293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8" name="photo_294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9" name="photo_295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90" name="photo_296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91" name="photo_297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2" name="photo_298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3" name="photo_299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4" name="photo_300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5" name="photo_301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301</xdr:row>
      <xdr:rowOff>38100</xdr:rowOff>
    </xdr:from>
    <xdr:ext cx="647700" cy="647700"/>
    <xdr:pic>
      <xdr:nvPicPr>
        <xdr:cNvPr id="296" name="photo_302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7" name="photo_303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38100</xdr:rowOff>
    </xdr:from>
    <xdr:ext cx="647700" cy="647700"/>
    <xdr:pic>
      <xdr:nvPicPr>
        <xdr:cNvPr id="298" name="photo_304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304</xdr:row>
      <xdr:rowOff>38100</xdr:rowOff>
    </xdr:from>
    <xdr:ext cx="647700" cy="647700"/>
    <xdr:pic>
      <xdr:nvPicPr>
        <xdr:cNvPr id="299" name="photo_305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305</xdr:row>
      <xdr:rowOff>38100</xdr:rowOff>
    </xdr:from>
    <xdr:ext cx="647700" cy="647700"/>
    <xdr:pic>
      <xdr:nvPicPr>
        <xdr:cNvPr id="300" name="photo_306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306</xdr:row>
      <xdr:rowOff>38100</xdr:rowOff>
    </xdr:from>
    <xdr:ext cx="647700" cy="647700"/>
    <xdr:pic>
      <xdr:nvPicPr>
        <xdr:cNvPr id="301" name="photo_307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307</xdr:row>
      <xdr:rowOff>38100</xdr:rowOff>
    </xdr:from>
    <xdr:ext cx="647700" cy="647700"/>
    <xdr:pic>
      <xdr:nvPicPr>
        <xdr:cNvPr id="302" name="photo_308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308</xdr:row>
      <xdr:rowOff>38100</xdr:rowOff>
    </xdr:from>
    <xdr:ext cx="647700" cy="647700"/>
    <xdr:pic>
      <xdr:nvPicPr>
        <xdr:cNvPr id="303" name="photo_309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309</xdr:row>
      <xdr:rowOff>38100</xdr:rowOff>
    </xdr:from>
    <xdr:ext cx="647700" cy="647700"/>
    <xdr:pic>
      <xdr:nvPicPr>
        <xdr:cNvPr id="304" name="photo_310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310</xdr:row>
      <xdr:rowOff>38100</xdr:rowOff>
    </xdr:from>
    <xdr:ext cx="647700" cy="647700"/>
    <xdr:pic>
      <xdr:nvPicPr>
        <xdr:cNvPr id="305" name="photo_311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311</xdr:row>
      <xdr:rowOff>38100</xdr:rowOff>
    </xdr:from>
    <xdr:ext cx="647700" cy="647700"/>
    <xdr:pic>
      <xdr:nvPicPr>
        <xdr:cNvPr id="306" name="photo_312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312</xdr:row>
      <xdr:rowOff>38100</xdr:rowOff>
    </xdr:from>
    <xdr:ext cx="647700" cy="647700"/>
    <xdr:pic>
      <xdr:nvPicPr>
        <xdr:cNvPr id="307" name="photo_313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313</xdr:row>
      <xdr:rowOff>38100</xdr:rowOff>
    </xdr:from>
    <xdr:ext cx="647700" cy="647700"/>
    <xdr:pic>
      <xdr:nvPicPr>
        <xdr:cNvPr id="308" name="photo_314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314</xdr:row>
      <xdr:rowOff>38100</xdr:rowOff>
    </xdr:from>
    <xdr:ext cx="647700" cy="647700"/>
    <xdr:pic>
      <xdr:nvPicPr>
        <xdr:cNvPr id="309" name="photo_315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315</xdr:row>
      <xdr:rowOff>38100</xdr:rowOff>
    </xdr:from>
    <xdr:ext cx="647700" cy="647700"/>
    <xdr:pic>
      <xdr:nvPicPr>
        <xdr:cNvPr id="310" name="photo_316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316</xdr:row>
      <xdr:rowOff>38100</xdr:rowOff>
    </xdr:from>
    <xdr:ext cx="647700" cy="647700"/>
    <xdr:pic>
      <xdr:nvPicPr>
        <xdr:cNvPr id="311" name="photo_317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317</xdr:row>
      <xdr:rowOff>38100</xdr:rowOff>
    </xdr:from>
    <xdr:ext cx="647700" cy="647700"/>
    <xdr:pic>
      <xdr:nvPicPr>
        <xdr:cNvPr id="312" name="photo_318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318</xdr:row>
      <xdr:rowOff>38100</xdr:rowOff>
    </xdr:from>
    <xdr:ext cx="647700" cy="647700"/>
    <xdr:pic>
      <xdr:nvPicPr>
        <xdr:cNvPr id="313" name="photo_319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319</xdr:row>
      <xdr:rowOff>38100</xdr:rowOff>
    </xdr:from>
    <xdr:ext cx="647700" cy="647700"/>
    <xdr:pic>
      <xdr:nvPicPr>
        <xdr:cNvPr id="314" name="photo_320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320</xdr:row>
      <xdr:rowOff>38100</xdr:rowOff>
    </xdr:from>
    <xdr:ext cx="647700" cy="647700"/>
    <xdr:pic>
      <xdr:nvPicPr>
        <xdr:cNvPr id="315" name="photo_321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321</xdr:row>
      <xdr:rowOff>38100</xdr:rowOff>
    </xdr:from>
    <xdr:ext cx="647700" cy="647700"/>
    <xdr:pic>
      <xdr:nvPicPr>
        <xdr:cNvPr id="316" name="photo_322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322</xdr:row>
      <xdr:rowOff>38100</xdr:rowOff>
    </xdr:from>
    <xdr:ext cx="647700" cy="647700"/>
    <xdr:pic>
      <xdr:nvPicPr>
        <xdr:cNvPr id="317" name="photo_323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323</xdr:row>
      <xdr:rowOff>38100</xdr:rowOff>
    </xdr:from>
    <xdr:ext cx="647700" cy="647700"/>
    <xdr:pic>
      <xdr:nvPicPr>
        <xdr:cNvPr id="318" name="photo_324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324</xdr:row>
      <xdr:rowOff>38100</xdr:rowOff>
    </xdr:from>
    <xdr:ext cx="647700" cy="647700"/>
    <xdr:pic>
      <xdr:nvPicPr>
        <xdr:cNvPr id="319" name="photo_325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325</xdr:row>
      <xdr:rowOff>38100</xdr:rowOff>
    </xdr:from>
    <xdr:ext cx="647700" cy="647700"/>
    <xdr:pic>
      <xdr:nvPicPr>
        <xdr:cNvPr id="320" name="photo_326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326</xdr:row>
      <xdr:rowOff>38100</xdr:rowOff>
    </xdr:from>
    <xdr:ext cx="647700" cy="647700"/>
    <xdr:pic>
      <xdr:nvPicPr>
        <xdr:cNvPr id="321" name="photo_327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327</xdr:row>
      <xdr:rowOff>38100</xdr:rowOff>
    </xdr:from>
    <xdr:ext cx="647700" cy="647700"/>
    <xdr:pic>
      <xdr:nvPicPr>
        <xdr:cNvPr id="322" name="photo_328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328</xdr:row>
      <xdr:rowOff>38100</xdr:rowOff>
    </xdr:from>
    <xdr:ext cx="647700" cy="647700"/>
    <xdr:pic>
      <xdr:nvPicPr>
        <xdr:cNvPr id="323" name="photo_329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329</xdr:row>
      <xdr:rowOff>38100</xdr:rowOff>
    </xdr:from>
    <xdr:ext cx="647700" cy="647700"/>
    <xdr:pic>
      <xdr:nvPicPr>
        <xdr:cNvPr id="324" name="photo_330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330</xdr:row>
      <xdr:rowOff>38100</xdr:rowOff>
    </xdr:from>
    <xdr:ext cx="647700" cy="647700"/>
    <xdr:pic>
      <xdr:nvPicPr>
        <xdr:cNvPr id="325" name="photo_331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331</xdr:row>
      <xdr:rowOff>38100</xdr:rowOff>
    </xdr:from>
    <xdr:ext cx="647700" cy="647700"/>
    <xdr:pic>
      <xdr:nvPicPr>
        <xdr:cNvPr id="326" name="photo_332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332</xdr:row>
      <xdr:rowOff>38100</xdr:rowOff>
    </xdr:from>
    <xdr:ext cx="647700" cy="647700"/>
    <xdr:pic>
      <xdr:nvPicPr>
        <xdr:cNvPr id="327" name="photo_333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333</xdr:row>
      <xdr:rowOff>38100</xdr:rowOff>
    </xdr:from>
    <xdr:ext cx="647700" cy="647700"/>
    <xdr:pic>
      <xdr:nvPicPr>
        <xdr:cNvPr id="328" name="photo_334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334</xdr:row>
      <xdr:rowOff>38100</xdr:rowOff>
    </xdr:from>
    <xdr:ext cx="647700" cy="647700"/>
    <xdr:pic>
      <xdr:nvPicPr>
        <xdr:cNvPr id="329" name="photo_335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335</xdr:row>
      <xdr:rowOff>38100</xdr:rowOff>
    </xdr:from>
    <xdr:ext cx="647700" cy="647700"/>
    <xdr:pic>
      <xdr:nvPicPr>
        <xdr:cNvPr id="330" name="photo_336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336</xdr:row>
      <xdr:rowOff>38100</xdr:rowOff>
    </xdr:from>
    <xdr:ext cx="647700" cy="647700"/>
    <xdr:pic>
      <xdr:nvPicPr>
        <xdr:cNvPr id="331" name="photo_337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337</xdr:row>
      <xdr:rowOff>38100</xdr:rowOff>
    </xdr:from>
    <xdr:ext cx="647700" cy="647700"/>
    <xdr:pic>
      <xdr:nvPicPr>
        <xdr:cNvPr id="332" name="photo_338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338</xdr:row>
      <xdr:rowOff>38100</xdr:rowOff>
    </xdr:from>
    <xdr:ext cx="647700" cy="647700"/>
    <xdr:pic>
      <xdr:nvPicPr>
        <xdr:cNvPr id="333" name="photo_339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339</xdr:row>
      <xdr:rowOff>38100</xdr:rowOff>
    </xdr:from>
    <xdr:ext cx="647700" cy="647700"/>
    <xdr:pic>
      <xdr:nvPicPr>
        <xdr:cNvPr id="334" name="photo_340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340</xdr:row>
      <xdr:rowOff>38100</xdr:rowOff>
    </xdr:from>
    <xdr:ext cx="647700" cy="647700"/>
    <xdr:pic>
      <xdr:nvPicPr>
        <xdr:cNvPr id="335" name="photo_341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341</xdr:row>
      <xdr:rowOff>38100</xdr:rowOff>
    </xdr:from>
    <xdr:ext cx="647700" cy="647700"/>
    <xdr:pic>
      <xdr:nvPicPr>
        <xdr:cNvPr id="336" name="photo_342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342</xdr:row>
      <xdr:rowOff>38100</xdr:rowOff>
    </xdr:from>
    <xdr:ext cx="647700" cy="647700"/>
    <xdr:pic>
      <xdr:nvPicPr>
        <xdr:cNvPr id="337" name="photo_343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343</xdr:row>
      <xdr:rowOff>38100</xdr:rowOff>
    </xdr:from>
    <xdr:ext cx="647700" cy="647700"/>
    <xdr:pic>
      <xdr:nvPicPr>
        <xdr:cNvPr id="338" name="photo_344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344</xdr:row>
      <xdr:rowOff>38100</xdr:rowOff>
    </xdr:from>
    <xdr:ext cx="647700" cy="647700"/>
    <xdr:pic>
      <xdr:nvPicPr>
        <xdr:cNvPr id="339" name="photo_345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345</xdr:row>
      <xdr:rowOff>38100</xdr:rowOff>
    </xdr:from>
    <xdr:ext cx="647700" cy="647700"/>
    <xdr:pic>
      <xdr:nvPicPr>
        <xdr:cNvPr id="340" name="photo_346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346</xdr:row>
      <xdr:rowOff>38100</xdr:rowOff>
    </xdr:from>
    <xdr:ext cx="647700" cy="647700"/>
    <xdr:pic>
      <xdr:nvPicPr>
        <xdr:cNvPr id="341" name="photo_347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347</xdr:row>
      <xdr:rowOff>38100</xdr:rowOff>
    </xdr:from>
    <xdr:ext cx="647700" cy="647700"/>
    <xdr:pic>
      <xdr:nvPicPr>
        <xdr:cNvPr id="342" name="photo_348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348</xdr:row>
      <xdr:rowOff>38100</xdr:rowOff>
    </xdr:from>
    <xdr:ext cx="647700" cy="647700"/>
    <xdr:pic>
      <xdr:nvPicPr>
        <xdr:cNvPr id="343" name="photo_349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349</xdr:row>
      <xdr:rowOff>38100</xdr:rowOff>
    </xdr:from>
    <xdr:ext cx="647700" cy="647700"/>
    <xdr:pic>
      <xdr:nvPicPr>
        <xdr:cNvPr id="344" name="photo_350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350</xdr:row>
      <xdr:rowOff>38100</xdr:rowOff>
    </xdr:from>
    <xdr:ext cx="647700" cy="647700"/>
    <xdr:pic>
      <xdr:nvPicPr>
        <xdr:cNvPr id="345" name="photo_351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351</xdr:row>
      <xdr:rowOff>38100</xdr:rowOff>
    </xdr:from>
    <xdr:ext cx="647700" cy="647700"/>
    <xdr:pic>
      <xdr:nvPicPr>
        <xdr:cNvPr id="346" name="photo_352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352</xdr:row>
      <xdr:rowOff>38100</xdr:rowOff>
    </xdr:from>
    <xdr:ext cx="647700" cy="647700"/>
    <xdr:pic>
      <xdr:nvPicPr>
        <xdr:cNvPr id="347" name="photo_353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353</xdr:row>
      <xdr:rowOff>38100</xdr:rowOff>
    </xdr:from>
    <xdr:ext cx="647700" cy="647700"/>
    <xdr:pic>
      <xdr:nvPicPr>
        <xdr:cNvPr id="348" name="photo_354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354</xdr:row>
      <xdr:rowOff>38100</xdr:rowOff>
    </xdr:from>
    <xdr:ext cx="647700" cy="647700"/>
    <xdr:pic>
      <xdr:nvPicPr>
        <xdr:cNvPr id="349" name="photo_355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355</xdr:row>
      <xdr:rowOff>38100</xdr:rowOff>
    </xdr:from>
    <xdr:ext cx="647700" cy="647700"/>
    <xdr:pic>
      <xdr:nvPicPr>
        <xdr:cNvPr id="350" name="photo_356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356</xdr:row>
      <xdr:rowOff>38100</xdr:rowOff>
    </xdr:from>
    <xdr:ext cx="647700" cy="647700"/>
    <xdr:pic>
      <xdr:nvPicPr>
        <xdr:cNvPr id="351" name="photo_357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357</xdr:row>
      <xdr:rowOff>38100</xdr:rowOff>
    </xdr:from>
    <xdr:ext cx="647700" cy="647700"/>
    <xdr:pic>
      <xdr:nvPicPr>
        <xdr:cNvPr id="352" name="photo_358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358</xdr:row>
      <xdr:rowOff>38100</xdr:rowOff>
    </xdr:from>
    <xdr:ext cx="647700" cy="647700"/>
    <xdr:pic>
      <xdr:nvPicPr>
        <xdr:cNvPr id="353" name="photo_359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359</xdr:row>
      <xdr:rowOff>38100</xdr:rowOff>
    </xdr:from>
    <xdr:ext cx="647700" cy="647700"/>
    <xdr:pic>
      <xdr:nvPicPr>
        <xdr:cNvPr id="354" name="photo_360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360</xdr:row>
      <xdr:rowOff>38100</xdr:rowOff>
    </xdr:from>
    <xdr:ext cx="647700" cy="647700"/>
    <xdr:pic>
      <xdr:nvPicPr>
        <xdr:cNvPr id="355" name="photo_361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361</xdr:row>
      <xdr:rowOff>38100</xdr:rowOff>
    </xdr:from>
    <xdr:ext cx="647700" cy="647700"/>
    <xdr:pic>
      <xdr:nvPicPr>
        <xdr:cNvPr id="356" name="photo_362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362</xdr:row>
      <xdr:rowOff>38100</xdr:rowOff>
    </xdr:from>
    <xdr:ext cx="647700" cy="647700"/>
    <xdr:pic>
      <xdr:nvPicPr>
        <xdr:cNvPr id="357" name="photo_363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363</xdr:row>
      <xdr:rowOff>38100</xdr:rowOff>
    </xdr:from>
    <xdr:ext cx="647700" cy="647700"/>
    <xdr:pic>
      <xdr:nvPicPr>
        <xdr:cNvPr id="358" name="photo_364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364</xdr:row>
      <xdr:rowOff>38100</xdr:rowOff>
    </xdr:from>
    <xdr:ext cx="647700" cy="647700"/>
    <xdr:pic>
      <xdr:nvPicPr>
        <xdr:cNvPr id="359" name="photo_365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365</xdr:row>
      <xdr:rowOff>38100</xdr:rowOff>
    </xdr:from>
    <xdr:ext cx="647700" cy="647700"/>
    <xdr:pic>
      <xdr:nvPicPr>
        <xdr:cNvPr id="360" name="photo_366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366</xdr:row>
      <xdr:rowOff>38100</xdr:rowOff>
    </xdr:from>
    <xdr:ext cx="647700" cy="647700"/>
    <xdr:pic>
      <xdr:nvPicPr>
        <xdr:cNvPr id="361" name="photo_367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367</xdr:row>
      <xdr:rowOff>38100</xdr:rowOff>
    </xdr:from>
    <xdr:ext cx="647700" cy="647700"/>
    <xdr:pic>
      <xdr:nvPicPr>
        <xdr:cNvPr id="362" name="photo_368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368</xdr:row>
      <xdr:rowOff>38100</xdr:rowOff>
    </xdr:from>
    <xdr:ext cx="647700" cy="647700"/>
    <xdr:pic>
      <xdr:nvPicPr>
        <xdr:cNvPr id="363" name="photo_369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369</xdr:row>
      <xdr:rowOff>38100</xdr:rowOff>
    </xdr:from>
    <xdr:ext cx="647700" cy="647700"/>
    <xdr:pic>
      <xdr:nvPicPr>
        <xdr:cNvPr id="364" name="photo_370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370</xdr:row>
      <xdr:rowOff>38100</xdr:rowOff>
    </xdr:from>
    <xdr:ext cx="647700" cy="647700"/>
    <xdr:pic>
      <xdr:nvPicPr>
        <xdr:cNvPr id="365" name="photo_371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371</xdr:row>
      <xdr:rowOff>38100</xdr:rowOff>
    </xdr:from>
    <xdr:ext cx="647700" cy="647700"/>
    <xdr:pic>
      <xdr:nvPicPr>
        <xdr:cNvPr id="366" name="photo_372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372</xdr:row>
      <xdr:rowOff>38100</xdr:rowOff>
    </xdr:from>
    <xdr:ext cx="647700" cy="647700"/>
    <xdr:pic>
      <xdr:nvPicPr>
        <xdr:cNvPr id="367" name="photo_373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373</xdr:row>
      <xdr:rowOff>38100</xdr:rowOff>
    </xdr:from>
    <xdr:ext cx="647700" cy="647700"/>
    <xdr:pic>
      <xdr:nvPicPr>
        <xdr:cNvPr id="368" name="photo_374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374</xdr:row>
      <xdr:rowOff>38100</xdr:rowOff>
    </xdr:from>
    <xdr:ext cx="647700" cy="647700"/>
    <xdr:pic>
      <xdr:nvPicPr>
        <xdr:cNvPr id="369" name="photo_375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375</xdr:row>
      <xdr:rowOff>38100</xdr:rowOff>
    </xdr:from>
    <xdr:ext cx="647700" cy="647700"/>
    <xdr:pic>
      <xdr:nvPicPr>
        <xdr:cNvPr id="370" name="photo_376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376</xdr:row>
      <xdr:rowOff>38100</xdr:rowOff>
    </xdr:from>
    <xdr:ext cx="647700" cy="647700"/>
    <xdr:pic>
      <xdr:nvPicPr>
        <xdr:cNvPr id="371" name="photo_377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377</xdr:row>
      <xdr:rowOff>38100</xdr:rowOff>
    </xdr:from>
    <xdr:ext cx="647700" cy="647700"/>
    <xdr:pic>
      <xdr:nvPicPr>
        <xdr:cNvPr id="372" name="photo_378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378</xdr:row>
      <xdr:rowOff>38100</xdr:rowOff>
    </xdr:from>
    <xdr:ext cx="647700" cy="647700"/>
    <xdr:pic>
      <xdr:nvPicPr>
        <xdr:cNvPr id="373" name="photo_379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379</xdr:row>
      <xdr:rowOff>38100</xdr:rowOff>
    </xdr:from>
    <xdr:ext cx="647700" cy="647700"/>
    <xdr:pic>
      <xdr:nvPicPr>
        <xdr:cNvPr id="374" name="photo_380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380</xdr:row>
      <xdr:rowOff>38100</xdr:rowOff>
    </xdr:from>
    <xdr:ext cx="647700" cy="647700"/>
    <xdr:pic>
      <xdr:nvPicPr>
        <xdr:cNvPr id="375" name="photo_381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381</xdr:row>
      <xdr:rowOff>38100</xdr:rowOff>
    </xdr:from>
    <xdr:ext cx="647700" cy="647700"/>
    <xdr:pic>
      <xdr:nvPicPr>
        <xdr:cNvPr id="376" name="photo_382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382</xdr:row>
      <xdr:rowOff>38100</xdr:rowOff>
    </xdr:from>
    <xdr:ext cx="647700" cy="647700"/>
    <xdr:pic>
      <xdr:nvPicPr>
        <xdr:cNvPr id="377" name="photo_383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383</xdr:row>
      <xdr:rowOff>38100</xdr:rowOff>
    </xdr:from>
    <xdr:ext cx="647700" cy="647700"/>
    <xdr:pic>
      <xdr:nvPicPr>
        <xdr:cNvPr id="378" name="photo_384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384</xdr:row>
      <xdr:rowOff>38100</xdr:rowOff>
    </xdr:from>
    <xdr:ext cx="647700" cy="647700"/>
    <xdr:pic>
      <xdr:nvPicPr>
        <xdr:cNvPr id="379" name="photo_385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385</xdr:row>
      <xdr:rowOff>38100</xdr:rowOff>
    </xdr:from>
    <xdr:ext cx="647700" cy="647700"/>
    <xdr:pic>
      <xdr:nvPicPr>
        <xdr:cNvPr id="380" name="photo_386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386</xdr:row>
      <xdr:rowOff>38100</xdr:rowOff>
    </xdr:from>
    <xdr:ext cx="647700" cy="647700"/>
    <xdr:pic>
      <xdr:nvPicPr>
        <xdr:cNvPr id="381" name="photo_387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387</xdr:row>
      <xdr:rowOff>38100</xdr:rowOff>
    </xdr:from>
    <xdr:ext cx="647700" cy="647700"/>
    <xdr:pic>
      <xdr:nvPicPr>
        <xdr:cNvPr id="382" name="photo_388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388</xdr:row>
      <xdr:rowOff>38100</xdr:rowOff>
    </xdr:from>
    <xdr:ext cx="647700" cy="647700"/>
    <xdr:pic>
      <xdr:nvPicPr>
        <xdr:cNvPr id="383" name="photo_389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389</xdr:row>
      <xdr:rowOff>38100</xdr:rowOff>
    </xdr:from>
    <xdr:ext cx="647700" cy="647700"/>
    <xdr:pic>
      <xdr:nvPicPr>
        <xdr:cNvPr id="384" name="photo_390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390</xdr:row>
      <xdr:rowOff>38100</xdr:rowOff>
    </xdr:from>
    <xdr:ext cx="647700" cy="647700"/>
    <xdr:pic>
      <xdr:nvPicPr>
        <xdr:cNvPr id="385" name="photo_391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391</xdr:row>
      <xdr:rowOff>38100</xdr:rowOff>
    </xdr:from>
    <xdr:ext cx="647700" cy="647700"/>
    <xdr:pic>
      <xdr:nvPicPr>
        <xdr:cNvPr id="386" name="photo_392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392</xdr:row>
      <xdr:rowOff>38100</xdr:rowOff>
    </xdr:from>
    <xdr:ext cx="647700" cy="647700"/>
    <xdr:pic>
      <xdr:nvPicPr>
        <xdr:cNvPr id="387" name="photo_393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393</xdr:row>
      <xdr:rowOff>38100</xdr:rowOff>
    </xdr:from>
    <xdr:ext cx="647700" cy="647700"/>
    <xdr:pic>
      <xdr:nvPicPr>
        <xdr:cNvPr id="388" name="photo_394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394</xdr:row>
      <xdr:rowOff>38100</xdr:rowOff>
    </xdr:from>
    <xdr:ext cx="647700" cy="647700"/>
    <xdr:pic>
      <xdr:nvPicPr>
        <xdr:cNvPr id="389" name="photo_395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395</xdr:row>
      <xdr:rowOff>38100</xdr:rowOff>
    </xdr:from>
    <xdr:ext cx="647700" cy="647700"/>
    <xdr:pic>
      <xdr:nvPicPr>
        <xdr:cNvPr id="390" name="photo_396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396</xdr:row>
      <xdr:rowOff>38100</xdr:rowOff>
    </xdr:from>
    <xdr:ext cx="647700" cy="647700"/>
    <xdr:pic>
      <xdr:nvPicPr>
        <xdr:cNvPr id="391" name="photo_397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397</xdr:row>
      <xdr:rowOff>38100</xdr:rowOff>
    </xdr:from>
    <xdr:ext cx="647700" cy="647700"/>
    <xdr:pic>
      <xdr:nvPicPr>
        <xdr:cNvPr id="392" name="photo_398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398</xdr:row>
      <xdr:rowOff>38100</xdr:rowOff>
    </xdr:from>
    <xdr:ext cx="647700" cy="647700"/>
    <xdr:pic>
      <xdr:nvPicPr>
        <xdr:cNvPr id="393" name="photo_399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399</xdr:row>
      <xdr:rowOff>38100</xdr:rowOff>
    </xdr:from>
    <xdr:ext cx="647700" cy="647700"/>
    <xdr:pic>
      <xdr:nvPicPr>
        <xdr:cNvPr id="394" name="photo_400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400</xdr:row>
      <xdr:rowOff>38100</xdr:rowOff>
    </xdr:from>
    <xdr:ext cx="647700" cy="647700"/>
    <xdr:pic>
      <xdr:nvPicPr>
        <xdr:cNvPr id="395" name="photo_401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401</xdr:row>
      <xdr:rowOff>38100</xdr:rowOff>
    </xdr:from>
    <xdr:ext cx="647700" cy="647700"/>
    <xdr:pic>
      <xdr:nvPicPr>
        <xdr:cNvPr id="396" name="photo_402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402</xdr:row>
      <xdr:rowOff>38100</xdr:rowOff>
    </xdr:from>
    <xdr:ext cx="647700" cy="647700"/>
    <xdr:pic>
      <xdr:nvPicPr>
        <xdr:cNvPr id="397" name="photo_403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403</xdr:row>
      <xdr:rowOff>38100</xdr:rowOff>
    </xdr:from>
    <xdr:ext cx="647700" cy="647700"/>
    <xdr:pic>
      <xdr:nvPicPr>
        <xdr:cNvPr id="398" name="photo_404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404</xdr:row>
      <xdr:rowOff>38100</xdr:rowOff>
    </xdr:from>
    <xdr:ext cx="647700" cy="647700"/>
    <xdr:pic>
      <xdr:nvPicPr>
        <xdr:cNvPr id="399" name="photo_405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405</xdr:row>
      <xdr:rowOff>38100</xdr:rowOff>
    </xdr:from>
    <xdr:ext cx="647700" cy="647700"/>
    <xdr:pic>
      <xdr:nvPicPr>
        <xdr:cNvPr id="400" name="photo_406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406</xdr:row>
      <xdr:rowOff>38100</xdr:rowOff>
    </xdr:from>
    <xdr:ext cx="647700" cy="647700"/>
    <xdr:pic>
      <xdr:nvPicPr>
        <xdr:cNvPr id="401" name="photo_407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407</xdr:row>
      <xdr:rowOff>38100</xdr:rowOff>
    </xdr:from>
    <xdr:ext cx="647700" cy="647700"/>
    <xdr:pic>
      <xdr:nvPicPr>
        <xdr:cNvPr id="402" name="photo_408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408</xdr:row>
      <xdr:rowOff>38100</xdr:rowOff>
    </xdr:from>
    <xdr:ext cx="647700" cy="647700"/>
    <xdr:pic>
      <xdr:nvPicPr>
        <xdr:cNvPr id="403" name="photo_409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409</xdr:row>
      <xdr:rowOff>38100</xdr:rowOff>
    </xdr:from>
    <xdr:ext cx="647700" cy="647700"/>
    <xdr:pic>
      <xdr:nvPicPr>
        <xdr:cNvPr id="404" name="photo_410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410</xdr:row>
      <xdr:rowOff>38100</xdr:rowOff>
    </xdr:from>
    <xdr:ext cx="647700" cy="647700"/>
    <xdr:pic>
      <xdr:nvPicPr>
        <xdr:cNvPr id="405" name="photo_411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411</xdr:row>
      <xdr:rowOff>38100</xdr:rowOff>
    </xdr:from>
    <xdr:ext cx="647700" cy="647700"/>
    <xdr:pic>
      <xdr:nvPicPr>
        <xdr:cNvPr id="406" name="photo_412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412</xdr:row>
      <xdr:rowOff>38100</xdr:rowOff>
    </xdr:from>
    <xdr:ext cx="647700" cy="647700"/>
    <xdr:pic>
      <xdr:nvPicPr>
        <xdr:cNvPr id="407" name="photo_413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413</xdr:row>
      <xdr:rowOff>38100</xdr:rowOff>
    </xdr:from>
    <xdr:ext cx="647700" cy="647700"/>
    <xdr:pic>
      <xdr:nvPicPr>
        <xdr:cNvPr id="408" name="photo_414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414</xdr:row>
      <xdr:rowOff>38100</xdr:rowOff>
    </xdr:from>
    <xdr:ext cx="647700" cy="647700"/>
    <xdr:pic>
      <xdr:nvPicPr>
        <xdr:cNvPr id="409" name="photo_415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415</xdr:row>
      <xdr:rowOff>38100</xdr:rowOff>
    </xdr:from>
    <xdr:ext cx="647700" cy="647700"/>
    <xdr:pic>
      <xdr:nvPicPr>
        <xdr:cNvPr id="410" name="photo_416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416</xdr:row>
      <xdr:rowOff>38100</xdr:rowOff>
    </xdr:from>
    <xdr:ext cx="647700" cy="647700"/>
    <xdr:pic>
      <xdr:nvPicPr>
        <xdr:cNvPr id="411" name="photo_417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417</xdr:row>
      <xdr:rowOff>38100</xdr:rowOff>
    </xdr:from>
    <xdr:ext cx="647700" cy="647700"/>
    <xdr:pic>
      <xdr:nvPicPr>
        <xdr:cNvPr id="412" name="photo_418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418</xdr:row>
      <xdr:rowOff>38100</xdr:rowOff>
    </xdr:from>
    <xdr:ext cx="647700" cy="647700"/>
    <xdr:pic>
      <xdr:nvPicPr>
        <xdr:cNvPr id="413" name="photo_419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419</xdr:row>
      <xdr:rowOff>38100</xdr:rowOff>
    </xdr:from>
    <xdr:ext cx="647700" cy="647700"/>
    <xdr:pic>
      <xdr:nvPicPr>
        <xdr:cNvPr id="414" name="photo_420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420</xdr:row>
      <xdr:rowOff>38100</xdr:rowOff>
    </xdr:from>
    <xdr:ext cx="647700" cy="647700"/>
    <xdr:pic>
      <xdr:nvPicPr>
        <xdr:cNvPr id="415" name="photo_421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421</xdr:row>
      <xdr:rowOff>38100</xdr:rowOff>
    </xdr:from>
    <xdr:ext cx="647700" cy="647700"/>
    <xdr:pic>
      <xdr:nvPicPr>
        <xdr:cNvPr id="416" name="photo_422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422</xdr:row>
      <xdr:rowOff>38100</xdr:rowOff>
    </xdr:from>
    <xdr:ext cx="647700" cy="647700"/>
    <xdr:pic>
      <xdr:nvPicPr>
        <xdr:cNvPr id="417" name="photo_423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423</xdr:row>
      <xdr:rowOff>38100</xdr:rowOff>
    </xdr:from>
    <xdr:ext cx="647700" cy="647700"/>
    <xdr:pic>
      <xdr:nvPicPr>
        <xdr:cNvPr id="418" name="photo_424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424</xdr:row>
      <xdr:rowOff>38100</xdr:rowOff>
    </xdr:from>
    <xdr:ext cx="647700" cy="647700"/>
    <xdr:pic>
      <xdr:nvPicPr>
        <xdr:cNvPr id="419" name="photo_425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425</xdr:row>
      <xdr:rowOff>38100</xdr:rowOff>
    </xdr:from>
    <xdr:ext cx="647700" cy="647700"/>
    <xdr:pic>
      <xdr:nvPicPr>
        <xdr:cNvPr id="420" name="photo_426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426</xdr:row>
      <xdr:rowOff>38100</xdr:rowOff>
    </xdr:from>
    <xdr:ext cx="647700" cy="647700"/>
    <xdr:pic>
      <xdr:nvPicPr>
        <xdr:cNvPr id="421" name="photo_427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427</xdr:row>
      <xdr:rowOff>38100</xdr:rowOff>
    </xdr:from>
    <xdr:ext cx="647700" cy="647700"/>
    <xdr:pic>
      <xdr:nvPicPr>
        <xdr:cNvPr id="422" name="photo_428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428</xdr:row>
      <xdr:rowOff>38100</xdr:rowOff>
    </xdr:from>
    <xdr:ext cx="647700" cy="647700"/>
    <xdr:pic>
      <xdr:nvPicPr>
        <xdr:cNvPr id="423" name="photo_429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429</xdr:row>
      <xdr:rowOff>76200</xdr:rowOff>
    </xdr:from>
    <xdr:ext cx="647700" cy="571500"/>
    <xdr:pic>
      <xdr:nvPicPr>
        <xdr:cNvPr id="424" name="photo_430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430</xdr:row>
      <xdr:rowOff>38100</xdr:rowOff>
    </xdr:from>
    <xdr:ext cx="647700" cy="647700"/>
    <xdr:pic>
      <xdr:nvPicPr>
        <xdr:cNvPr id="425" name="photo_431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431</xdr:row>
      <xdr:rowOff>38100</xdr:rowOff>
    </xdr:from>
    <xdr:ext cx="647700" cy="647700"/>
    <xdr:pic>
      <xdr:nvPicPr>
        <xdr:cNvPr id="426" name="photo_432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432</xdr:row>
      <xdr:rowOff>38100</xdr:rowOff>
    </xdr:from>
    <xdr:ext cx="647700" cy="647700"/>
    <xdr:pic>
      <xdr:nvPicPr>
        <xdr:cNvPr id="427" name="photo_433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433</xdr:row>
      <xdr:rowOff>38100</xdr:rowOff>
    </xdr:from>
    <xdr:ext cx="647700" cy="647700"/>
    <xdr:pic>
      <xdr:nvPicPr>
        <xdr:cNvPr id="428" name="photo_434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434</xdr:row>
      <xdr:rowOff>38100</xdr:rowOff>
    </xdr:from>
    <xdr:ext cx="647700" cy="647700"/>
    <xdr:pic>
      <xdr:nvPicPr>
        <xdr:cNvPr id="429" name="photo_435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435</xdr:row>
      <xdr:rowOff>38100</xdr:rowOff>
    </xdr:from>
    <xdr:ext cx="647700" cy="647700"/>
    <xdr:pic>
      <xdr:nvPicPr>
        <xdr:cNvPr id="430" name="photo_436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436</xdr:row>
      <xdr:rowOff>38100</xdr:rowOff>
    </xdr:from>
    <xdr:ext cx="647700" cy="647700"/>
    <xdr:pic>
      <xdr:nvPicPr>
        <xdr:cNvPr id="431" name="photo_437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437</xdr:row>
      <xdr:rowOff>38100</xdr:rowOff>
    </xdr:from>
    <xdr:ext cx="647700" cy="647700"/>
    <xdr:pic>
      <xdr:nvPicPr>
        <xdr:cNvPr id="432" name="photo_438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438</xdr:row>
      <xdr:rowOff>38100</xdr:rowOff>
    </xdr:from>
    <xdr:ext cx="647700" cy="647700"/>
    <xdr:pic>
      <xdr:nvPicPr>
        <xdr:cNvPr id="433" name="photo_439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439</xdr:row>
      <xdr:rowOff>38100</xdr:rowOff>
    </xdr:from>
    <xdr:ext cx="647700" cy="647700"/>
    <xdr:pic>
      <xdr:nvPicPr>
        <xdr:cNvPr id="434" name="photo_440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440</xdr:row>
      <xdr:rowOff>38100</xdr:rowOff>
    </xdr:from>
    <xdr:ext cx="647700" cy="647700"/>
    <xdr:pic>
      <xdr:nvPicPr>
        <xdr:cNvPr id="435" name="photo_441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441</xdr:row>
      <xdr:rowOff>38100</xdr:rowOff>
    </xdr:from>
    <xdr:ext cx="647700" cy="647700"/>
    <xdr:pic>
      <xdr:nvPicPr>
        <xdr:cNvPr id="436" name="photo_442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442</xdr:row>
      <xdr:rowOff>38100</xdr:rowOff>
    </xdr:from>
    <xdr:ext cx="647700" cy="647700"/>
    <xdr:pic>
      <xdr:nvPicPr>
        <xdr:cNvPr id="437" name="photo_443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443</xdr:row>
      <xdr:rowOff>38100</xdr:rowOff>
    </xdr:from>
    <xdr:ext cx="647700" cy="647700"/>
    <xdr:pic>
      <xdr:nvPicPr>
        <xdr:cNvPr id="438" name="photo_444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444</xdr:row>
      <xdr:rowOff>38100</xdr:rowOff>
    </xdr:from>
    <xdr:ext cx="647700" cy="647700"/>
    <xdr:pic>
      <xdr:nvPicPr>
        <xdr:cNvPr id="439" name="photo_445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445</xdr:row>
      <xdr:rowOff>38100</xdr:rowOff>
    </xdr:from>
    <xdr:ext cx="647700" cy="647700"/>
    <xdr:pic>
      <xdr:nvPicPr>
        <xdr:cNvPr id="440" name="photo_446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446</xdr:row>
      <xdr:rowOff>38100</xdr:rowOff>
    </xdr:from>
    <xdr:ext cx="647700" cy="647700"/>
    <xdr:pic>
      <xdr:nvPicPr>
        <xdr:cNvPr id="441" name="photo_447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447</xdr:row>
      <xdr:rowOff>38100</xdr:rowOff>
    </xdr:from>
    <xdr:ext cx="647700" cy="647700"/>
    <xdr:pic>
      <xdr:nvPicPr>
        <xdr:cNvPr id="442" name="photo_448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448</xdr:row>
      <xdr:rowOff>38100</xdr:rowOff>
    </xdr:from>
    <xdr:ext cx="647700" cy="647700"/>
    <xdr:pic>
      <xdr:nvPicPr>
        <xdr:cNvPr id="443" name="photo_449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449</xdr:row>
      <xdr:rowOff>38100</xdr:rowOff>
    </xdr:from>
    <xdr:ext cx="647700" cy="647700"/>
    <xdr:pic>
      <xdr:nvPicPr>
        <xdr:cNvPr id="444" name="photo_450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450</xdr:row>
      <xdr:rowOff>38100</xdr:rowOff>
    </xdr:from>
    <xdr:ext cx="647700" cy="647700"/>
    <xdr:pic>
      <xdr:nvPicPr>
        <xdr:cNvPr id="445" name="photo_451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451</xdr:row>
      <xdr:rowOff>38100</xdr:rowOff>
    </xdr:from>
    <xdr:ext cx="647700" cy="647700"/>
    <xdr:pic>
      <xdr:nvPicPr>
        <xdr:cNvPr id="446" name="photo_452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452</xdr:row>
      <xdr:rowOff>38100</xdr:rowOff>
    </xdr:from>
    <xdr:ext cx="647700" cy="647700"/>
    <xdr:pic>
      <xdr:nvPicPr>
        <xdr:cNvPr id="447" name="photo_453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453</xdr:row>
      <xdr:rowOff>38100</xdr:rowOff>
    </xdr:from>
    <xdr:ext cx="647700" cy="647700"/>
    <xdr:pic>
      <xdr:nvPicPr>
        <xdr:cNvPr id="448" name="photo_454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454</xdr:row>
      <xdr:rowOff>38100</xdr:rowOff>
    </xdr:from>
    <xdr:ext cx="647700" cy="647700"/>
    <xdr:pic>
      <xdr:nvPicPr>
        <xdr:cNvPr id="449" name="photo_455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455</xdr:row>
      <xdr:rowOff>38100</xdr:rowOff>
    </xdr:from>
    <xdr:ext cx="647700" cy="647700"/>
    <xdr:pic>
      <xdr:nvPicPr>
        <xdr:cNvPr id="450" name="photo_456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456</xdr:row>
      <xdr:rowOff>38100</xdr:rowOff>
    </xdr:from>
    <xdr:ext cx="647700" cy="647700"/>
    <xdr:pic>
      <xdr:nvPicPr>
        <xdr:cNvPr id="451" name="photo_457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457</xdr:row>
      <xdr:rowOff>38100</xdr:rowOff>
    </xdr:from>
    <xdr:ext cx="647700" cy="647700"/>
    <xdr:pic>
      <xdr:nvPicPr>
        <xdr:cNvPr id="452" name="photo_458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458</xdr:row>
      <xdr:rowOff>38100</xdr:rowOff>
    </xdr:from>
    <xdr:ext cx="647700" cy="647700"/>
    <xdr:pic>
      <xdr:nvPicPr>
        <xdr:cNvPr id="453" name="photo_459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459</xdr:row>
      <xdr:rowOff>38100</xdr:rowOff>
    </xdr:from>
    <xdr:ext cx="647700" cy="647700"/>
    <xdr:pic>
      <xdr:nvPicPr>
        <xdr:cNvPr id="454" name="photo_460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460</xdr:row>
      <xdr:rowOff>38100</xdr:rowOff>
    </xdr:from>
    <xdr:ext cx="647700" cy="647700"/>
    <xdr:pic>
      <xdr:nvPicPr>
        <xdr:cNvPr id="455" name="photo_461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461</xdr:row>
      <xdr:rowOff>38100</xdr:rowOff>
    </xdr:from>
    <xdr:ext cx="647700" cy="647700"/>
    <xdr:pic>
      <xdr:nvPicPr>
        <xdr:cNvPr id="456" name="photo_462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462</xdr:row>
      <xdr:rowOff>38100</xdr:rowOff>
    </xdr:from>
    <xdr:ext cx="647700" cy="647700"/>
    <xdr:pic>
      <xdr:nvPicPr>
        <xdr:cNvPr id="457" name="photo_463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463</xdr:row>
      <xdr:rowOff>38100</xdr:rowOff>
    </xdr:from>
    <xdr:ext cx="647700" cy="647700"/>
    <xdr:pic>
      <xdr:nvPicPr>
        <xdr:cNvPr id="458" name="photo_464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464</xdr:row>
      <xdr:rowOff>38100</xdr:rowOff>
    </xdr:from>
    <xdr:ext cx="647700" cy="647700"/>
    <xdr:pic>
      <xdr:nvPicPr>
        <xdr:cNvPr id="459" name="photo_465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465</xdr:row>
      <xdr:rowOff>38100</xdr:rowOff>
    </xdr:from>
    <xdr:ext cx="647700" cy="647700"/>
    <xdr:pic>
      <xdr:nvPicPr>
        <xdr:cNvPr id="460" name="photo_466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466</xdr:row>
      <xdr:rowOff>38100</xdr:rowOff>
    </xdr:from>
    <xdr:ext cx="647700" cy="647700"/>
    <xdr:pic>
      <xdr:nvPicPr>
        <xdr:cNvPr id="461" name="photo_467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467</xdr:row>
      <xdr:rowOff>38100</xdr:rowOff>
    </xdr:from>
    <xdr:ext cx="647700" cy="647700"/>
    <xdr:pic>
      <xdr:nvPicPr>
        <xdr:cNvPr id="462" name="photo_468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468</xdr:row>
      <xdr:rowOff>38100</xdr:rowOff>
    </xdr:from>
    <xdr:ext cx="647700" cy="647700"/>
    <xdr:pic>
      <xdr:nvPicPr>
        <xdr:cNvPr id="463" name="photo_469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469</xdr:row>
      <xdr:rowOff>38100</xdr:rowOff>
    </xdr:from>
    <xdr:ext cx="647700" cy="647700"/>
    <xdr:pic>
      <xdr:nvPicPr>
        <xdr:cNvPr id="464" name="photo_470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470</xdr:row>
      <xdr:rowOff>38100</xdr:rowOff>
    </xdr:from>
    <xdr:ext cx="647700" cy="647700"/>
    <xdr:pic>
      <xdr:nvPicPr>
        <xdr:cNvPr id="465" name="photo_471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471</xdr:row>
      <xdr:rowOff>38100</xdr:rowOff>
    </xdr:from>
    <xdr:ext cx="647700" cy="647700"/>
    <xdr:pic>
      <xdr:nvPicPr>
        <xdr:cNvPr id="466" name="photo_472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472</xdr:row>
      <xdr:rowOff>38100</xdr:rowOff>
    </xdr:from>
    <xdr:ext cx="647700" cy="647700"/>
    <xdr:pic>
      <xdr:nvPicPr>
        <xdr:cNvPr id="467" name="photo_473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473</xdr:row>
      <xdr:rowOff>38100</xdr:rowOff>
    </xdr:from>
    <xdr:ext cx="647700" cy="647700"/>
    <xdr:pic>
      <xdr:nvPicPr>
        <xdr:cNvPr id="468" name="photo_474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474</xdr:row>
      <xdr:rowOff>38100</xdr:rowOff>
    </xdr:from>
    <xdr:ext cx="647700" cy="647700"/>
    <xdr:pic>
      <xdr:nvPicPr>
        <xdr:cNvPr id="469" name="photo_475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475</xdr:row>
      <xdr:rowOff>38100</xdr:rowOff>
    </xdr:from>
    <xdr:ext cx="647700" cy="647700"/>
    <xdr:pic>
      <xdr:nvPicPr>
        <xdr:cNvPr id="470" name="photo_476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476</xdr:row>
      <xdr:rowOff>38100</xdr:rowOff>
    </xdr:from>
    <xdr:ext cx="647700" cy="647700"/>
    <xdr:pic>
      <xdr:nvPicPr>
        <xdr:cNvPr id="471" name="photo_477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477</xdr:row>
      <xdr:rowOff>38100</xdr:rowOff>
    </xdr:from>
    <xdr:ext cx="647700" cy="647700"/>
    <xdr:pic>
      <xdr:nvPicPr>
        <xdr:cNvPr id="472" name="photo_478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478</xdr:row>
      <xdr:rowOff>38100</xdr:rowOff>
    </xdr:from>
    <xdr:ext cx="647700" cy="647700"/>
    <xdr:pic>
      <xdr:nvPicPr>
        <xdr:cNvPr id="473" name="photo_479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479</xdr:row>
      <xdr:rowOff>38100</xdr:rowOff>
    </xdr:from>
    <xdr:ext cx="647700" cy="647700"/>
    <xdr:pic>
      <xdr:nvPicPr>
        <xdr:cNvPr id="474" name="photo_480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480</xdr:row>
      <xdr:rowOff>38100</xdr:rowOff>
    </xdr:from>
    <xdr:ext cx="647700" cy="647700"/>
    <xdr:pic>
      <xdr:nvPicPr>
        <xdr:cNvPr id="475" name="photo_481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481</xdr:row>
      <xdr:rowOff>38100</xdr:rowOff>
    </xdr:from>
    <xdr:ext cx="647700" cy="647700"/>
    <xdr:pic>
      <xdr:nvPicPr>
        <xdr:cNvPr id="476" name="photo_482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482</xdr:row>
      <xdr:rowOff>38100</xdr:rowOff>
    </xdr:from>
    <xdr:ext cx="647700" cy="647700"/>
    <xdr:pic>
      <xdr:nvPicPr>
        <xdr:cNvPr id="477" name="photo_483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483</xdr:row>
      <xdr:rowOff>38100</xdr:rowOff>
    </xdr:from>
    <xdr:ext cx="647700" cy="647700"/>
    <xdr:pic>
      <xdr:nvPicPr>
        <xdr:cNvPr id="478" name="photo_484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484</xdr:row>
      <xdr:rowOff>38100</xdr:rowOff>
    </xdr:from>
    <xdr:ext cx="647700" cy="647700"/>
    <xdr:pic>
      <xdr:nvPicPr>
        <xdr:cNvPr id="479" name="photo_485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485</xdr:row>
      <xdr:rowOff>38100</xdr:rowOff>
    </xdr:from>
    <xdr:ext cx="647700" cy="647700"/>
    <xdr:pic>
      <xdr:nvPicPr>
        <xdr:cNvPr id="480" name="photo_486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486</xdr:row>
      <xdr:rowOff>38100</xdr:rowOff>
    </xdr:from>
    <xdr:ext cx="647700" cy="647700"/>
    <xdr:pic>
      <xdr:nvPicPr>
        <xdr:cNvPr id="481" name="photo_487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487</xdr:row>
      <xdr:rowOff>38100</xdr:rowOff>
    </xdr:from>
    <xdr:ext cx="647700" cy="647700"/>
    <xdr:pic>
      <xdr:nvPicPr>
        <xdr:cNvPr id="482" name="photo_488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488</xdr:row>
      <xdr:rowOff>38100</xdr:rowOff>
    </xdr:from>
    <xdr:ext cx="647700" cy="647700"/>
    <xdr:pic>
      <xdr:nvPicPr>
        <xdr:cNvPr id="483" name="photo_489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489</xdr:row>
      <xdr:rowOff>38100</xdr:rowOff>
    </xdr:from>
    <xdr:ext cx="647700" cy="647700"/>
    <xdr:pic>
      <xdr:nvPicPr>
        <xdr:cNvPr id="484" name="photo_490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490</xdr:row>
      <xdr:rowOff>38100</xdr:rowOff>
    </xdr:from>
    <xdr:ext cx="647700" cy="647700"/>
    <xdr:pic>
      <xdr:nvPicPr>
        <xdr:cNvPr id="485" name="photo_491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491</xdr:row>
      <xdr:rowOff>38100</xdr:rowOff>
    </xdr:from>
    <xdr:ext cx="647700" cy="647700"/>
    <xdr:pic>
      <xdr:nvPicPr>
        <xdr:cNvPr id="486" name="photo_492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492</xdr:row>
      <xdr:rowOff>38100</xdr:rowOff>
    </xdr:from>
    <xdr:ext cx="647700" cy="647700"/>
    <xdr:pic>
      <xdr:nvPicPr>
        <xdr:cNvPr id="487" name="photo_493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493</xdr:row>
      <xdr:rowOff>38100</xdr:rowOff>
    </xdr:from>
    <xdr:ext cx="647700" cy="647700"/>
    <xdr:pic>
      <xdr:nvPicPr>
        <xdr:cNvPr id="488" name="photo_494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494</xdr:row>
      <xdr:rowOff>38100</xdr:rowOff>
    </xdr:from>
    <xdr:ext cx="647700" cy="647700"/>
    <xdr:pic>
      <xdr:nvPicPr>
        <xdr:cNvPr id="489" name="photo_495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495</xdr:row>
      <xdr:rowOff>38100</xdr:rowOff>
    </xdr:from>
    <xdr:ext cx="647700" cy="647700"/>
    <xdr:pic>
      <xdr:nvPicPr>
        <xdr:cNvPr id="490" name="photo_496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496</xdr:row>
      <xdr:rowOff>38100</xdr:rowOff>
    </xdr:from>
    <xdr:ext cx="647700" cy="647700"/>
    <xdr:pic>
      <xdr:nvPicPr>
        <xdr:cNvPr id="491" name="photo_497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497</xdr:row>
      <xdr:rowOff>38100</xdr:rowOff>
    </xdr:from>
    <xdr:ext cx="647700" cy="647700"/>
    <xdr:pic>
      <xdr:nvPicPr>
        <xdr:cNvPr id="492" name="photo_498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498</xdr:row>
      <xdr:rowOff>38100</xdr:rowOff>
    </xdr:from>
    <xdr:ext cx="647700" cy="647700"/>
    <xdr:pic>
      <xdr:nvPicPr>
        <xdr:cNvPr id="493" name="photo_499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499</xdr:row>
      <xdr:rowOff>38100</xdr:rowOff>
    </xdr:from>
    <xdr:ext cx="647700" cy="647700"/>
    <xdr:pic>
      <xdr:nvPicPr>
        <xdr:cNvPr id="494" name="photo_500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500</xdr:row>
      <xdr:rowOff>38100</xdr:rowOff>
    </xdr:from>
    <xdr:ext cx="647700" cy="647700"/>
    <xdr:pic>
      <xdr:nvPicPr>
        <xdr:cNvPr id="495" name="photo_501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501</xdr:row>
      <xdr:rowOff>38100</xdr:rowOff>
    </xdr:from>
    <xdr:ext cx="647700" cy="647700"/>
    <xdr:pic>
      <xdr:nvPicPr>
        <xdr:cNvPr id="496" name="photo_502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502</xdr:row>
      <xdr:rowOff>38100</xdr:rowOff>
    </xdr:from>
    <xdr:ext cx="647700" cy="647700"/>
    <xdr:pic>
      <xdr:nvPicPr>
        <xdr:cNvPr id="497" name="photo_503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503</xdr:row>
      <xdr:rowOff>38100</xdr:rowOff>
    </xdr:from>
    <xdr:ext cx="647700" cy="647700"/>
    <xdr:pic>
      <xdr:nvPicPr>
        <xdr:cNvPr id="498" name="photo_504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504</xdr:row>
      <xdr:rowOff>38100</xdr:rowOff>
    </xdr:from>
    <xdr:ext cx="647700" cy="647700"/>
    <xdr:pic>
      <xdr:nvPicPr>
        <xdr:cNvPr id="499" name="photo_505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505</xdr:row>
      <xdr:rowOff>38100</xdr:rowOff>
    </xdr:from>
    <xdr:ext cx="647700" cy="647700"/>
    <xdr:pic>
      <xdr:nvPicPr>
        <xdr:cNvPr id="500" name="photo_506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506</xdr:row>
      <xdr:rowOff>38100</xdr:rowOff>
    </xdr:from>
    <xdr:ext cx="647700" cy="647700"/>
    <xdr:pic>
      <xdr:nvPicPr>
        <xdr:cNvPr id="501" name="photo_507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507</xdr:row>
      <xdr:rowOff>38100</xdr:rowOff>
    </xdr:from>
    <xdr:ext cx="647700" cy="647700"/>
    <xdr:pic>
      <xdr:nvPicPr>
        <xdr:cNvPr id="502" name="photo_508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508</xdr:row>
      <xdr:rowOff>38100</xdr:rowOff>
    </xdr:from>
    <xdr:ext cx="647700" cy="647700"/>
    <xdr:pic>
      <xdr:nvPicPr>
        <xdr:cNvPr id="503" name="photo_509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509</xdr:row>
      <xdr:rowOff>38100</xdr:rowOff>
    </xdr:from>
    <xdr:ext cx="647700" cy="647700"/>
    <xdr:pic>
      <xdr:nvPicPr>
        <xdr:cNvPr id="504" name="photo_510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510</xdr:row>
      <xdr:rowOff>38100</xdr:rowOff>
    </xdr:from>
    <xdr:ext cx="647700" cy="647700"/>
    <xdr:pic>
      <xdr:nvPicPr>
        <xdr:cNvPr id="505" name="photo_511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511</xdr:row>
      <xdr:rowOff>38100</xdr:rowOff>
    </xdr:from>
    <xdr:ext cx="647700" cy="647700"/>
    <xdr:pic>
      <xdr:nvPicPr>
        <xdr:cNvPr id="506" name="photo_512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512</xdr:row>
      <xdr:rowOff>38100</xdr:rowOff>
    </xdr:from>
    <xdr:ext cx="647700" cy="647700"/>
    <xdr:pic>
      <xdr:nvPicPr>
        <xdr:cNvPr id="507" name="photo_513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513</xdr:row>
      <xdr:rowOff>38100</xdr:rowOff>
    </xdr:from>
    <xdr:ext cx="647700" cy="647700"/>
    <xdr:pic>
      <xdr:nvPicPr>
        <xdr:cNvPr id="508" name="photo_514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514</xdr:row>
      <xdr:rowOff>38100</xdr:rowOff>
    </xdr:from>
    <xdr:ext cx="647700" cy="647700"/>
    <xdr:pic>
      <xdr:nvPicPr>
        <xdr:cNvPr id="509" name="photo_515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515</xdr:row>
      <xdr:rowOff>38100</xdr:rowOff>
    </xdr:from>
    <xdr:ext cx="647700" cy="647700"/>
    <xdr:pic>
      <xdr:nvPicPr>
        <xdr:cNvPr id="510" name="photo_516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516</xdr:row>
      <xdr:rowOff>38100</xdr:rowOff>
    </xdr:from>
    <xdr:ext cx="647700" cy="647700"/>
    <xdr:pic>
      <xdr:nvPicPr>
        <xdr:cNvPr id="511" name="photo_517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517</xdr:row>
      <xdr:rowOff>38100</xdr:rowOff>
    </xdr:from>
    <xdr:ext cx="647700" cy="647700"/>
    <xdr:pic>
      <xdr:nvPicPr>
        <xdr:cNvPr id="512" name="photo_518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518</xdr:row>
      <xdr:rowOff>38100</xdr:rowOff>
    </xdr:from>
    <xdr:ext cx="647700" cy="647700"/>
    <xdr:pic>
      <xdr:nvPicPr>
        <xdr:cNvPr id="513" name="photo_519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519</xdr:row>
      <xdr:rowOff>38100</xdr:rowOff>
    </xdr:from>
    <xdr:ext cx="647700" cy="647700"/>
    <xdr:pic>
      <xdr:nvPicPr>
        <xdr:cNvPr id="514" name="photo_520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520</xdr:row>
      <xdr:rowOff>38100</xdr:rowOff>
    </xdr:from>
    <xdr:ext cx="647700" cy="647700"/>
    <xdr:pic>
      <xdr:nvPicPr>
        <xdr:cNvPr id="515" name="photo_521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521</xdr:row>
      <xdr:rowOff>38100</xdr:rowOff>
    </xdr:from>
    <xdr:ext cx="647700" cy="647700"/>
    <xdr:pic>
      <xdr:nvPicPr>
        <xdr:cNvPr id="516" name="photo_522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522</xdr:row>
      <xdr:rowOff>38100</xdr:rowOff>
    </xdr:from>
    <xdr:ext cx="647700" cy="647700"/>
    <xdr:pic>
      <xdr:nvPicPr>
        <xdr:cNvPr id="517" name="photo_523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523</xdr:row>
      <xdr:rowOff>38100</xdr:rowOff>
    </xdr:from>
    <xdr:ext cx="647700" cy="647700"/>
    <xdr:pic>
      <xdr:nvPicPr>
        <xdr:cNvPr id="518" name="photo_524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524</xdr:row>
      <xdr:rowOff>38100</xdr:rowOff>
    </xdr:from>
    <xdr:ext cx="647700" cy="647700"/>
    <xdr:pic>
      <xdr:nvPicPr>
        <xdr:cNvPr id="519" name="photo_525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525</xdr:row>
      <xdr:rowOff>38100</xdr:rowOff>
    </xdr:from>
    <xdr:ext cx="647700" cy="647700"/>
    <xdr:pic>
      <xdr:nvPicPr>
        <xdr:cNvPr id="520" name="photo_526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526</xdr:row>
      <xdr:rowOff>38100</xdr:rowOff>
    </xdr:from>
    <xdr:ext cx="647700" cy="647700"/>
    <xdr:pic>
      <xdr:nvPicPr>
        <xdr:cNvPr id="521" name="photo_527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527</xdr:row>
      <xdr:rowOff>38100</xdr:rowOff>
    </xdr:from>
    <xdr:ext cx="647700" cy="647700"/>
    <xdr:pic>
      <xdr:nvPicPr>
        <xdr:cNvPr id="522" name="photo_528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528</xdr:row>
      <xdr:rowOff>38100</xdr:rowOff>
    </xdr:from>
    <xdr:ext cx="647700" cy="647700"/>
    <xdr:pic>
      <xdr:nvPicPr>
        <xdr:cNvPr id="523" name="photo_529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529</xdr:row>
      <xdr:rowOff>38100</xdr:rowOff>
    </xdr:from>
    <xdr:ext cx="647700" cy="647700"/>
    <xdr:pic>
      <xdr:nvPicPr>
        <xdr:cNvPr id="524" name="photo_530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530</xdr:row>
      <xdr:rowOff>38100</xdr:rowOff>
    </xdr:from>
    <xdr:ext cx="647700" cy="647700"/>
    <xdr:pic>
      <xdr:nvPicPr>
        <xdr:cNvPr id="525" name="photo_531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531</xdr:row>
      <xdr:rowOff>38100</xdr:rowOff>
    </xdr:from>
    <xdr:ext cx="647700" cy="647700"/>
    <xdr:pic>
      <xdr:nvPicPr>
        <xdr:cNvPr id="526" name="photo_532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532</xdr:row>
      <xdr:rowOff>38100</xdr:rowOff>
    </xdr:from>
    <xdr:ext cx="647700" cy="647700"/>
    <xdr:pic>
      <xdr:nvPicPr>
        <xdr:cNvPr id="527" name="photo_533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533</xdr:row>
      <xdr:rowOff>38100</xdr:rowOff>
    </xdr:from>
    <xdr:ext cx="647700" cy="647700"/>
    <xdr:pic>
      <xdr:nvPicPr>
        <xdr:cNvPr id="528" name="photo_534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534</xdr:row>
      <xdr:rowOff>38100</xdr:rowOff>
    </xdr:from>
    <xdr:ext cx="647700" cy="647700"/>
    <xdr:pic>
      <xdr:nvPicPr>
        <xdr:cNvPr id="529" name="photo_535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535</xdr:row>
      <xdr:rowOff>38100</xdr:rowOff>
    </xdr:from>
    <xdr:ext cx="647700" cy="647700"/>
    <xdr:pic>
      <xdr:nvPicPr>
        <xdr:cNvPr id="530" name="photo_536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536</xdr:row>
      <xdr:rowOff>38100</xdr:rowOff>
    </xdr:from>
    <xdr:ext cx="647700" cy="647700"/>
    <xdr:pic>
      <xdr:nvPicPr>
        <xdr:cNvPr id="531" name="photo_537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537</xdr:row>
      <xdr:rowOff>38100</xdr:rowOff>
    </xdr:from>
    <xdr:ext cx="647700" cy="647700"/>
    <xdr:pic>
      <xdr:nvPicPr>
        <xdr:cNvPr id="532" name="photo_538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538</xdr:row>
      <xdr:rowOff>38100</xdr:rowOff>
    </xdr:from>
    <xdr:ext cx="647700" cy="647700"/>
    <xdr:pic>
      <xdr:nvPicPr>
        <xdr:cNvPr id="533" name="photo_539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539</xdr:row>
      <xdr:rowOff>38100</xdr:rowOff>
    </xdr:from>
    <xdr:ext cx="647700" cy="647700"/>
    <xdr:pic>
      <xdr:nvPicPr>
        <xdr:cNvPr id="534" name="photo_540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540</xdr:row>
      <xdr:rowOff>38100</xdr:rowOff>
    </xdr:from>
    <xdr:ext cx="647700" cy="647700"/>
    <xdr:pic>
      <xdr:nvPicPr>
        <xdr:cNvPr id="535" name="photo_541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541</xdr:row>
      <xdr:rowOff>38100</xdr:rowOff>
    </xdr:from>
    <xdr:ext cx="647700" cy="647700"/>
    <xdr:pic>
      <xdr:nvPicPr>
        <xdr:cNvPr id="536" name="photo_542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542</xdr:row>
      <xdr:rowOff>38100</xdr:rowOff>
    </xdr:from>
    <xdr:ext cx="647700" cy="647700"/>
    <xdr:pic>
      <xdr:nvPicPr>
        <xdr:cNvPr id="537" name="photo_543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543</xdr:row>
      <xdr:rowOff>38100</xdr:rowOff>
    </xdr:from>
    <xdr:ext cx="647700" cy="647700"/>
    <xdr:pic>
      <xdr:nvPicPr>
        <xdr:cNvPr id="538" name="photo_544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544</xdr:row>
      <xdr:rowOff>38100</xdr:rowOff>
    </xdr:from>
    <xdr:ext cx="647700" cy="647700"/>
    <xdr:pic>
      <xdr:nvPicPr>
        <xdr:cNvPr id="539" name="photo_545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545</xdr:row>
      <xdr:rowOff>38100</xdr:rowOff>
    </xdr:from>
    <xdr:ext cx="647700" cy="647700"/>
    <xdr:pic>
      <xdr:nvPicPr>
        <xdr:cNvPr id="540" name="photo_546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546</xdr:row>
      <xdr:rowOff>38100</xdr:rowOff>
    </xdr:from>
    <xdr:ext cx="647700" cy="647700"/>
    <xdr:pic>
      <xdr:nvPicPr>
        <xdr:cNvPr id="541" name="photo_547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547</xdr:row>
      <xdr:rowOff>38100</xdr:rowOff>
    </xdr:from>
    <xdr:ext cx="647700" cy="647700"/>
    <xdr:pic>
      <xdr:nvPicPr>
        <xdr:cNvPr id="542" name="photo_548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548</xdr:row>
      <xdr:rowOff>38100</xdr:rowOff>
    </xdr:from>
    <xdr:ext cx="647700" cy="647700"/>
    <xdr:pic>
      <xdr:nvPicPr>
        <xdr:cNvPr id="543" name="photo_549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549</xdr:row>
      <xdr:rowOff>38100</xdr:rowOff>
    </xdr:from>
    <xdr:ext cx="647700" cy="647700"/>
    <xdr:pic>
      <xdr:nvPicPr>
        <xdr:cNvPr id="544" name="photo_550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550</xdr:row>
      <xdr:rowOff>38100</xdr:rowOff>
    </xdr:from>
    <xdr:ext cx="647700" cy="647700"/>
    <xdr:pic>
      <xdr:nvPicPr>
        <xdr:cNvPr id="545" name="photo_551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551</xdr:row>
      <xdr:rowOff>38100</xdr:rowOff>
    </xdr:from>
    <xdr:ext cx="647700" cy="647700"/>
    <xdr:pic>
      <xdr:nvPicPr>
        <xdr:cNvPr id="546" name="photo_552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552</xdr:row>
      <xdr:rowOff>38100</xdr:rowOff>
    </xdr:from>
    <xdr:ext cx="647700" cy="647700"/>
    <xdr:pic>
      <xdr:nvPicPr>
        <xdr:cNvPr id="547" name="photo_553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553</xdr:row>
      <xdr:rowOff>38100</xdr:rowOff>
    </xdr:from>
    <xdr:ext cx="647700" cy="647700"/>
    <xdr:pic>
      <xdr:nvPicPr>
        <xdr:cNvPr id="548" name="photo_554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554</xdr:row>
      <xdr:rowOff>38100</xdr:rowOff>
    </xdr:from>
    <xdr:ext cx="647700" cy="647700"/>
    <xdr:pic>
      <xdr:nvPicPr>
        <xdr:cNvPr id="549" name="photo_555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555</xdr:row>
      <xdr:rowOff>38100</xdr:rowOff>
    </xdr:from>
    <xdr:ext cx="647700" cy="647700"/>
    <xdr:pic>
      <xdr:nvPicPr>
        <xdr:cNvPr id="550" name="photo_556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556</xdr:row>
      <xdr:rowOff>38100</xdr:rowOff>
    </xdr:from>
    <xdr:ext cx="647700" cy="647700"/>
    <xdr:pic>
      <xdr:nvPicPr>
        <xdr:cNvPr id="551" name="photo_557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557</xdr:row>
      <xdr:rowOff>38100</xdr:rowOff>
    </xdr:from>
    <xdr:ext cx="647700" cy="647700"/>
    <xdr:pic>
      <xdr:nvPicPr>
        <xdr:cNvPr id="552" name="photo_558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558</xdr:row>
      <xdr:rowOff>38100</xdr:rowOff>
    </xdr:from>
    <xdr:ext cx="647700" cy="647700"/>
    <xdr:pic>
      <xdr:nvPicPr>
        <xdr:cNvPr id="553" name="photo_559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559</xdr:row>
      <xdr:rowOff>38100</xdr:rowOff>
    </xdr:from>
    <xdr:ext cx="647700" cy="647700"/>
    <xdr:pic>
      <xdr:nvPicPr>
        <xdr:cNvPr id="554" name="photo_560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560</xdr:row>
      <xdr:rowOff>38100</xdr:rowOff>
    </xdr:from>
    <xdr:ext cx="647700" cy="647700"/>
    <xdr:pic>
      <xdr:nvPicPr>
        <xdr:cNvPr id="555" name="photo_561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561</xdr:row>
      <xdr:rowOff>38100</xdr:rowOff>
    </xdr:from>
    <xdr:ext cx="647700" cy="647700"/>
    <xdr:pic>
      <xdr:nvPicPr>
        <xdr:cNvPr id="556" name="photo_562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562</xdr:row>
      <xdr:rowOff>38100</xdr:rowOff>
    </xdr:from>
    <xdr:ext cx="647700" cy="647700"/>
    <xdr:pic>
      <xdr:nvPicPr>
        <xdr:cNvPr id="557" name="photo_563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563</xdr:row>
      <xdr:rowOff>38100</xdr:rowOff>
    </xdr:from>
    <xdr:ext cx="647700" cy="647700"/>
    <xdr:pic>
      <xdr:nvPicPr>
        <xdr:cNvPr id="558" name="photo_564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564</xdr:row>
      <xdr:rowOff>38100</xdr:rowOff>
    </xdr:from>
    <xdr:ext cx="647700" cy="647700"/>
    <xdr:pic>
      <xdr:nvPicPr>
        <xdr:cNvPr id="559" name="photo_565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565</xdr:row>
      <xdr:rowOff>38100</xdr:rowOff>
    </xdr:from>
    <xdr:ext cx="647700" cy="647700"/>
    <xdr:pic>
      <xdr:nvPicPr>
        <xdr:cNvPr id="560" name="photo_566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566</xdr:row>
      <xdr:rowOff>38100</xdr:rowOff>
    </xdr:from>
    <xdr:ext cx="647700" cy="647700"/>
    <xdr:pic>
      <xdr:nvPicPr>
        <xdr:cNvPr id="561" name="photo_567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567</xdr:row>
      <xdr:rowOff>38100</xdr:rowOff>
    </xdr:from>
    <xdr:ext cx="647700" cy="647700"/>
    <xdr:pic>
      <xdr:nvPicPr>
        <xdr:cNvPr id="562" name="photo_568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568</xdr:row>
      <xdr:rowOff>38100</xdr:rowOff>
    </xdr:from>
    <xdr:ext cx="647700" cy="647700"/>
    <xdr:pic>
      <xdr:nvPicPr>
        <xdr:cNvPr id="563" name="photo_569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569</xdr:row>
      <xdr:rowOff>38100</xdr:rowOff>
    </xdr:from>
    <xdr:ext cx="647700" cy="647700"/>
    <xdr:pic>
      <xdr:nvPicPr>
        <xdr:cNvPr id="564" name="photo_570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570</xdr:row>
      <xdr:rowOff>38100</xdr:rowOff>
    </xdr:from>
    <xdr:ext cx="647700" cy="647700"/>
    <xdr:pic>
      <xdr:nvPicPr>
        <xdr:cNvPr id="565" name="photo_571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571</xdr:row>
      <xdr:rowOff>38100</xdr:rowOff>
    </xdr:from>
    <xdr:ext cx="647700" cy="647700"/>
    <xdr:pic>
      <xdr:nvPicPr>
        <xdr:cNvPr id="566" name="photo_572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572</xdr:row>
      <xdr:rowOff>38100</xdr:rowOff>
    </xdr:from>
    <xdr:ext cx="647700" cy="647700"/>
    <xdr:pic>
      <xdr:nvPicPr>
        <xdr:cNvPr id="567" name="photo_573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573</xdr:row>
      <xdr:rowOff>38100</xdr:rowOff>
    </xdr:from>
    <xdr:ext cx="647700" cy="647700"/>
    <xdr:pic>
      <xdr:nvPicPr>
        <xdr:cNvPr id="568" name="photo_574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574</xdr:row>
      <xdr:rowOff>38100</xdr:rowOff>
    </xdr:from>
    <xdr:ext cx="647700" cy="647700"/>
    <xdr:pic>
      <xdr:nvPicPr>
        <xdr:cNvPr id="569" name="photo_575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575</xdr:row>
      <xdr:rowOff>38100</xdr:rowOff>
    </xdr:from>
    <xdr:ext cx="647700" cy="647700"/>
    <xdr:pic>
      <xdr:nvPicPr>
        <xdr:cNvPr id="570" name="photo_576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576</xdr:row>
      <xdr:rowOff>38100</xdr:rowOff>
    </xdr:from>
    <xdr:ext cx="647700" cy="647700"/>
    <xdr:pic>
      <xdr:nvPicPr>
        <xdr:cNvPr id="571" name="photo_577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577</xdr:row>
      <xdr:rowOff>38100</xdr:rowOff>
    </xdr:from>
    <xdr:ext cx="647700" cy="647700"/>
    <xdr:pic>
      <xdr:nvPicPr>
        <xdr:cNvPr id="572" name="photo_578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578</xdr:row>
      <xdr:rowOff>38100</xdr:rowOff>
    </xdr:from>
    <xdr:ext cx="647700" cy="647700"/>
    <xdr:pic>
      <xdr:nvPicPr>
        <xdr:cNvPr id="573" name="photo_579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579</xdr:row>
      <xdr:rowOff>38100</xdr:rowOff>
    </xdr:from>
    <xdr:ext cx="647700" cy="647700"/>
    <xdr:pic>
      <xdr:nvPicPr>
        <xdr:cNvPr id="574" name="photo_580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580</xdr:row>
      <xdr:rowOff>38100</xdr:rowOff>
    </xdr:from>
    <xdr:ext cx="647700" cy="647700"/>
    <xdr:pic>
      <xdr:nvPicPr>
        <xdr:cNvPr id="575" name="photo_581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581</xdr:row>
      <xdr:rowOff>38100</xdr:rowOff>
    </xdr:from>
    <xdr:ext cx="647700" cy="647700"/>
    <xdr:pic>
      <xdr:nvPicPr>
        <xdr:cNvPr id="576" name="photo_582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582</xdr:row>
      <xdr:rowOff>38100</xdr:rowOff>
    </xdr:from>
    <xdr:ext cx="647700" cy="647700"/>
    <xdr:pic>
      <xdr:nvPicPr>
        <xdr:cNvPr id="577" name="photo_583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583</xdr:row>
      <xdr:rowOff>38100</xdr:rowOff>
    </xdr:from>
    <xdr:ext cx="647700" cy="647700"/>
    <xdr:pic>
      <xdr:nvPicPr>
        <xdr:cNvPr id="578" name="photo_584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584</xdr:row>
      <xdr:rowOff>38100</xdr:rowOff>
    </xdr:from>
    <xdr:ext cx="647700" cy="647700"/>
    <xdr:pic>
      <xdr:nvPicPr>
        <xdr:cNvPr id="579" name="photo_585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585</xdr:row>
      <xdr:rowOff>38100</xdr:rowOff>
    </xdr:from>
    <xdr:ext cx="647700" cy="647700"/>
    <xdr:pic>
      <xdr:nvPicPr>
        <xdr:cNvPr id="580" name="photo_586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586</xdr:row>
      <xdr:rowOff>38100</xdr:rowOff>
    </xdr:from>
    <xdr:ext cx="647700" cy="647700"/>
    <xdr:pic>
      <xdr:nvPicPr>
        <xdr:cNvPr id="581" name="photo_587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587</xdr:row>
      <xdr:rowOff>38100</xdr:rowOff>
    </xdr:from>
    <xdr:ext cx="647700" cy="647700"/>
    <xdr:pic>
      <xdr:nvPicPr>
        <xdr:cNvPr id="582" name="photo_588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588</xdr:row>
      <xdr:rowOff>38100</xdr:rowOff>
    </xdr:from>
    <xdr:ext cx="647700" cy="647700"/>
    <xdr:pic>
      <xdr:nvPicPr>
        <xdr:cNvPr id="583" name="photo_589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589</xdr:row>
      <xdr:rowOff>38100</xdr:rowOff>
    </xdr:from>
    <xdr:ext cx="647700" cy="647700"/>
    <xdr:pic>
      <xdr:nvPicPr>
        <xdr:cNvPr id="584" name="photo_590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590</xdr:row>
      <xdr:rowOff>38100</xdr:rowOff>
    </xdr:from>
    <xdr:ext cx="647700" cy="647700"/>
    <xdr:pic>
      <xdr:nvPicPr>
        <xdr:cNvPr id="585" name="photo_591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591</xdr:row>
      <xdr:rowOff>38100</xdr:rowOff>
    </xdr:from>
    <xdr:ext cx="647700" cy="647700"/>
    <xdr:pic>
      <xdr:nvPicPr>
        <xdr:cNvPr id="586" name="photo_592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592</xdr:row>
      <xdr:rowOff>38100</xdr:rowOff>
    </xdr:from>
    <xdr:ext cx="647700" cy="647700"/>
    <xdr:pic>
      <xdr:nvPicPr>
        <xdr:cNvPr id="587" name="photo_593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593</xdr:row>
      <xdr:rowOff>38100</xdr:rowOff>
    </xdr:from>
    <xdr:ext cx="647700" cy="647700"/>
    <xdr:pic>
      <xdr:nvPicPr>
        <xdr:cNvPr id="588" name="photo_594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594</xdr:row>
      <xdr:rowOff>38100</xdr:rowOff>
    </xdr:from>
    <xdr:ext cx="647700" cy="647700"/>
    <xdr:pic>
      <xdr:nvPicPr>
        <xdr:cNvPr id="589" name="photo_595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595</xdr:row>
      <xdr:rowOff>295275</xdr:rowOff>
    </xdr:from>
    <xdr:ext cx="647700" cy="133350"/>
    <xdr:pic>
      <xdr:nvPicPr>
        <xdr:cNvPr id="590" name="photo_596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596</xdr:row>
      <xdr:rowOff>38100</xdr:rowOff>
    </xdr:from>
    <xdr:ext cx="647700" cy="647700"/>
    <xdr:pic>
      <xdr:nvPicPr>
        <xdr:cNvPr id="591" name="photo_597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597</xdr:row>
      <xdr:rowOff>38100</xdr:rowOff>
    </xdr:from>
    <xdr:ext cx="647700" cy="647700"/>
    <xdr:pic>
      <xdr:nvPicPr>
        <xdr:cNvPr id="592" name="photo_598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598</xdr:row>
      <xdr:rowOff>38100</xdr:rowOff>
    </xdr:from>
    <xdr:ext cx="647700" cy="647700"/>
    <xdr:pic>
      <xdr:nvPicPr>
        <xdr:cNvPr id="593" name="photo_599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599</xdr:row>
      <xdr:rowOff>38100</xdr:rowOff>
    </xdr:from>
    <xdr:ext cx="647700" cy="647700"/>
    <xdr:pic>
      <xdr:nvPicPr>
        <xdr:cNvPr id="594" name="photo_600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600</xdr:row>
      <xdr:rowOff>38100</xdr:rowOff>
    </xdr:from>
    <xdr:ext cx="647700" cy="647700"/>
    <xdr:pic>
      <xdr:nvPicPr>
        <xdr:cNvPr id="595" name="photo_601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601</xdr:row>
      <xdr:rowOff>38100</xdr:rowOff>
    </xdr:from>
    <xdr:ext cx="647700" cy="647700"/>
    <xdr:pic>
      <xdr:nvPicPr>
        <xdr:cNvPr id="596" name="photo_602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602</xdr:row>
      <xdr:rowOff>38100</xdr:rowOff>
    </xdr:from>
    <xdr:ext cx="647700" cy="647700"/>
    <xdr:pic>
      <xdr:nvPicPr>
        <xdr:cNvPr id="597" name="photo_603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603</xdr:row>
      <xdr:rowOff>38100</xdr:rowOff>
    </xdr:from>
    <xdr:ext cx="647700" cy="647700"/>
    <xdr:pic>
      <xdr:nvPicPr>
        <xdr:cNvPr id="598" name="photo_604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604</xdr:row>
      <xdr:rowOff>38100</xdr:rowOff>
    </xdr:from>
    <xdr:ext cx="647700" cy="647700"/>
    <xdr:pic>
      <xdr:nvPicPr>
        <xdr:cNvPr id="599" name="photo_605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605</xdr:row>
      <xdr:rowOff>38100</xdr:rowOff>
    </xdr:from>
    <xdr:ext cx="647700" cy="647700"/>
    <xdr:pic>
      <xdr:nvPicPr>
        <xdr:cNvPr id="600" name="photo_606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606</xdr:row>
      <xdr:rowOff>38100</xdr:rowOff>
    </xdr:from>
    <xdr:ext cx="647700" cy="647700"/>
    <xdr:pic>
      <xdr:nvPicPr>
        <xdr:cNvPr id="601" name="photo_607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607</xdr:row>
      <xdr:rowOff>38100</xdr:rowOff>
    </xdr:from>
    <xdr:ext cx="647700" cy="647700"/>
    <xdr:pic>
      <xdr:nvPicPr>
        <xdr:cNvPr id="602" name="photo_608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608</xdr:row>
      <xdr:rowOff>38100</xdr:rowOff>
    </xdr:from>
    <xdr:ext cx="647700" cy="647700"/>
    <xdr:pic>
      <xdr:nvPicPr>
        <xdr:cNvPr id="603" name="photo_609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609</xdr:row>
      <xdr:rowOff>38100</xdr:rowOff>
    </xdr:from>
    <xdr:ext cx="647700" cy="647700"/>
    <xdr:pic>
      <xdr:nvPicPr>
        <xdr:cNvPr id="604" name="photo_610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610</xdr:row>
      <xdr:rowOff>38100</xdr:rowOff>
    </xdr:from>
    <xdr:ext cx="647700" cy="647700"/>
    <xdr:pic>
      <xdr:nvPicPr>
        <xdr:cNvPr id="605" name="photo_611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611</xdr:row>
      <xdr:rowOff>38100</xdr:rowOff>
    </xdr:from>
    <xdr:ext cx="647700" cy="647700"/>
    <xdr:pic>
      <xdr:nvPicPr>
        <xdr:cNvPr id="606" name="photo_612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612</xdr:row>
      <xdr:rowOff>38100</xdr:rowOff>
    </xdr:from>
    <xdr:ext cx="647700" cy="647700"/>
    <xdr:pic>
      <xdr:nvPicPr>
        <xdr:cNvPr id="607" name="photo_613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613</xdr:row>
      <xdr:rowOff>38100</xdr:rowOff>
    </xdr:from>
    <xdr:ext cx="647700" cy="647700"/>
    <xdr:pic>
      <xdr:nvPicPr>
        <xdr:cNvPr id="608" name="photo_614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614</xdr:row>
      <xdr:rowOff>38100</xdr:rowOff>
    </xdr:from>
    <xdr:ext cx="647700" cy="647700"/>
    <xdr:pic>
      <xdr:nvPicPr>
        <xdr:cNvPr id="609" name="photo_615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615</xdr:row>
      <xdr:rowOff>38100</xdr:rowOff>
    </xdr:from>
    <xdr:ext cx="647700" cy="647700"/>
    <xdr:pic>
      <xdr:nvPicPr>
        <xdr:cNvPr id="610" name="photo_616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616</xdr:row>
      <xdr:rowOff>38100</xdr:rowOff>
    </xdr:from>
    <xdr:ext cx="647700" cy="647700"/>
    <xdr:pic>
      <xdr:nvPicPr>
        <xdr:cNvPr id="611" name="photo_617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617</xdr:row>
      <xdr:rowOff>38100</xdr:rowOff>
    </xdr:from>
    <xdr:ext cx="647700" cy="647700"/>
    <xdr:pic>
      <xdr:nvPicPr>
        <xdr:cNvPr id="612" name="photo_618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618</xdr:row>
      <xdr:rowOff>38100</xdr:rowOff>
    </xdr:from>
    <xdr:ext cx="647700" cy="647700"/>
    <xdr:pic>
      <xdr:nvPicPr>
        <xdr:cNvPr id="613" name="photo_619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619</xdr:row>
      <xdr:rowOff>38100</xdr:rowOff>
    </xdr:from>
    <xdr:ext cx="647700" cy="647700"/>
    <xdr:pic>
      <xdr:nvPicPr>
        <xdr:cNvPr id="614" name="photo_620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620</xdr:row>
      <xdr:rowOff>38100</xdr:rowOff>
    </xdr:from>
    <xdr:ext cx="647700" cy="647700"/>
    <xdr:pic>
      <xdr:nvPicPr>
        <xdr:cNvPr id="615" name="photo_621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621</xdr:row>
      <xdr:rowOff>142875</xdr:rowOff>
    </xdr:from>
    <xdr:ext cx="647700" cy="438150"/>
    <xdr:pic>
      <xdr:nvPicPr>
        <xdr:cNvPr id="616" name="photo_622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622</xdr:row>
      <xdr:rowOff>38100</xdr:rowOff>
    </xdr:from>
    <xdr:ext cx="647700" cy="647700"/>
    <xdr:pic>
      <xdr:nvPicPr>
        <xdr:cNvPr id="617" name="photo_623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eeccd112-60fb-11ee-bc2f-00e01a6800eb%2303b3e631-60fc-11ee-bc2f-00e01a6800eb" TargetMode="External"/><Relationship Id="rId_hyperlink_2" Type="http://schemas.openxmlformats.org/officeDocument/2006/relationships/hyperlink" Target="https://www.lavrpack.ru/catalog/?product=de23d3e8-60fc-11ee-bc2f-00e01a6800eb%23e8f1d2e9-60fc-11ee-bc2f-00e01a6800eb" TargetMode="External"/><Relationship Id="rId_hyperlink_3" Type="http://schemas.openxmlformats.org/officeDocument/2006/relationships/hyperlink" Target="https://www.lavrpack.ru/catalog/?product=8f24884d-338f-11ef-843e-00e01a6800eb%23bf5ac721-338f-11ef-843e-00e01a6800eb" TargetMode="External"/><Relationship Id="rId_hyperlink_4" Type="http://schemas.openxmlformats.org/officeDocument/2006/relationships/hyperlink" Target="https://www.lavrpack.ru/catalog/?product=29be6b12-6114-11ee-bc2f-00e01a6800eb" TargetMode="External"/><Relationship Id="rId_hyperlink_5" Type="http://schemas.openxmlformats.org/officeDocument/2006/relationships/hyperlink" Target="https://www.lavrpack.ru/catalog/?product=881f6140-6114-11ee-bc2f-00e01a6800eb" TargetMode="External"/><Relationship Id="rId_hyperlink_6" Type="http://schemas.openxmlformats.org/officeDocument/2006/relationships/hyperlink" Target="https://www.lavrpack.ru/catalog/?product=8ce9e8cc-7f2c-11ec-b73f-0018e40a3af2" TargetMode="External"/><Relationship Id="rId_hyperlink_7" Type="http://schemas.openxmlformats.org/officeDocument/2006/relationships/hyperlink" Target="https://www.lavrpack.ru/catalog/?product=9f132942-7f2c-11ec-b73f-0018e40a3af2" TargetMode="External"/><Relationship Id="rId_hyperlink_8" Type="http://schemas.openxmlformats.org/officeDocument/2006/relationships/hyperlink" Target="https://www.lavrpack.ru/catalog/?product=3181f055-7f2c-11ec-b73f-0018e40a3af2" TargetMode="External"/><Relationship Id="rId_hyperlink_9" Type="http://schemas.openxmlformats.org/officeDocument/2006/relationships/hyperlink" Target="https://www.lavrpack.ru/catalog/?product=d49b59d8-7f2d-11ec-b73f-0018e40a3af2" TargetMode="External"/><Relationship Id="rId_hyperlink_10" Type="http://schemas.openxmlformats.org/officeDocument/2006/relationships/hyperlink" Target="https://www.lavrpack.ru/catalog/?product=e8a5ac52-300c-11ed-8758-00e01a6800eb" TargetMode="External"/><Relationship Id="rId_hyperlink_11" Type="http://schemas.openxmlformats.org/officeDocument/2006/relationships/hyperlink" Target="https://www.lavrpack.ru/catalog/?product=c065d86f-a817-11f0-ab48-22344d083d2c%234db46185-a819-11f0-ab48-22344d083d2c" TargetMode="External"/><Relationship Id="rId_hyperlink_12" Type="http://schemas.openxmlformats.org/officeDocument/2006/relationships/hyperlink" Target="https://www.lavrpack.ru/catalog/?product=c065d86f-a817-11f0-ab48-22344d083d2c%234723320a-a819-11f0-ab48-22344d083d2c" TargetMode="External"/><Relationship Id="rId_hyperlink_13" Type="http://schemas.openxmlformats.org/officeDocument/2006/relationships/hyperlink" Target="https://www.lavrpack.ru/catalog/?product=4ec9cfd1-6b87-11ef-ab51-1cfd08767542%2357fb3e6b-6b87-11ef-ab51-1cfd08767542" TargetMode="External"/><Relationship Id="rId_hyperlink_14" Type="http://schemas.openxmlformats.org/officeDocument/2006/relationships/hyperlink" Target="https://www.lavrpack.ru/catalog/?product=4ec9cfd1-6b87-11ef-ab51-1cfd08767542%2366dbc43b-6b87-11ef-ab51-1cfd08767542" TargetMode="External"/><Relationship Id="rId_hyperlink_15" Type="http://schemas.openxmlformats.org/officeDocument/2006/relationships/hyperlink" Target="https://www.lavrpack.ru/catalog/?product=4ec9cfd1-6b87-11ef-ab51-1cfd08767542%235efa0a69-6b87-11ef-ab51-1cfd08767542" TargetMode="External"/><Relationship Id="rId_hyperlink_16" Type="http://schemas.openxmlformats.org/officeDocument/2006/relationships/hyperlink" Target="https://www.lavrpack.ru/catalog/?product=4ec9cfd1-6b87-11ef-ab51-1cfd08767542%23746240af-6b87-11ef-ab51-1cfd08767542" TargetMode="External"/><Relationship Id="rId_hyperlink_17" Type="http://schemas.openxmlformats.org/officeDocument/2006/relationships/hyperlink" Target="https://www.lavrpack.ru/catalog/?product=586a166d-6b88-11ef-ab51-1cfd08767542%233974a549-76a0-11f0-ab47-22344d083d2c" TargetMode="External"/><Relationship Id="rId_hyperlink_18" Type="http://schemas.openxmlformats.org/officeDocument/2006/relationships/hyperlink" Target="https://www.lavrpack.ru/catalog/?product=586a166d-6b88-11ef-ab51-1cfd08767542%235f19eec4-6b88-11ef-ab51-1cfd08767542" TargetMode="External"/><Relationship Id="rId_hyperlink_19" Type="http://schemas.openxmlformats.org/officeDocument/2006/relationships/hyperlink" Target="https://www.lavrpack.ru/catalog/?product=586a166d-6b88-11ef-ab51-1cfd08767542%232db68b31-6b89-11ef-ab51-1cfd08767542" TargetMode="External"/><Relationship Id="rId_hyperlink_20" Type="http://schemas.openxmlformats.org/officeDocument/2006/relationships/hyperlink" Target="https://www.lavrpack.ru/catalog/?product=586a166d-6b88-11ef-ab51-1cfd08767542%232612ce49-6b89-11ef-ab51-1cfd08767542" TargetMode="External"/><Relationship Id="rId_hyperlink_21" Type="http://schemas.openxmlformats.org/officeDocument/2006/relationships/hyperlink" Target="https://www.lavrpack.ru/catalog/?product=d4d36f21-6b89-11ef-ab51-1cfd08767542%23d4d36f55-6b89-11ef-ab51-1cfd08767542" TargetMode="External"/><Relationship Id="rId_hyperlink_22" Type="http://schemas.openxmlformats.org/officeDocument/2006/relationships/hyperlink" Target="https://www.lavrpack.ru/catalog/?product=d4d36f21-6b89-11ef-ab51-1cfd08767542%23e4ceb114-6b89-11ef-ab51-1cfd08767542" TargetMode="External"/><Relationship Id="rId_hyperlink_23" Type="http://schemas.openxmlformats.org/officeDocument/2006/relationships/hyperlink" Target="https://www.lavrpack.ru/catalog/?product=d4d36f21-6b89-11ef-ab51-1cfd08767542%23e4ceb104-6b89-11ef-ab51-1cfd08767542" TargetMode="External"/><Relationship Id="rId_hyperlink_24" Type="http://schemas.openxmlformats.org/officeDocument/2006/relationships/hyperlink" Target="https://www.lavrpack.ru/catalog/?product=d4d36f21-6b89-11ef-ab51-1cfd08767542%23f195cbb7-6b89-11ef-ab51-1cfd08767542" TargetMode="External"/><Relationship Id="rId_hyperlink_25" Type="http://schemas.openxmlformats.org/officeDocument/2006/relationships/hyperlink" Target="https://www.lavrpack.ru/catalog/?product=d4d36f21-6b89-11ef-ab51-1cfd08767542%23f195cba7-6b89-11ef-ab51-1cfd08767542" TargetMode="External"/><Relationship Id="rId_hyperlink_26" Type="http://schemas.openxmlformats.org/officeDocument/2006/relationships/hyperlink" Target="https://www.lavrpack.ru/catalog/?product=7765c0ba-6b8a-11ef-ab51-1cfd08767542%237765c0ee-6b8a-11ef-ab51-1cfd08767542" TargetMode="External"/><Relationship Id="rId_hyperlink_27" Type="http://schemas.openxmlformats.org/officeDocument/2006/relationships/hyperlink" Target="https://www.lavrpack.ru/catalog/?product=7765c0ba-6b8a-11ef-ab51-1cfd08767542%2386bee50e-6b8a-11ef-ab51-1cfd08767542" TargetMode="External"/><Relationship Id="rId_hyperlink_28" Type="http://schemas.openxmlformats.org/officeDocument/2006/relationships/hyperlink" Target="https://www.lavrpack.ru/catalog/?product=7765c0ba-6b8a-11ef-ab51-1cfd08767542%23aa39a3a2-1432-11f0-ab40-22344d083d2c" TargetMode="External"/><Relationship Id="rId_hyperlink_29" Type="http://schemas.openxmlformats.org/officeDocument/2006/relationships/hyperlink" Target="https://www.lavrpack.ru/catalog/?product=7765c0ba-6b8a-11ef-ab51-1cfd08767542%237d8b50ac-6b8a-11ef-ab51-1cfd08767542" TargetMode="External"/><Relationship Id="rId_hyperlink_30" Type="http://schemas.openxmlformats.org/officeDocument/2006/relationships/hyperlink" Target="https://www.lavrpack.ru/catalog/?product=b105112c-145a-11f0-ab40-22344d083d2c%23d83be2c3-145a-11f0-ab40-22344d083d2c" TargetMode="External"/><Relationship Id="rId_hyperlink_31" Type="http://schemas.openxmlformats.org/officeDocument/2006/relationships/hyperlink" Target="https://www.lavrpack.ru/catalog/?product=b105112c-145a-11f0-ab40-22344d083d2c%23e4d54db7-145a-11f0-ab40-22344d083d2c" TargetMode="External"/><Relationship Id="rId_hyperlink_32" Type="http://schemas.openxmlformats.org/officeDocument/2006/relationships/hyperlink" Target="https://www.lavrpack.ru/catalog/?product=b105112c-145a-11f0-ab40-22344d083d2c%23eb23c296-145a-11f0-ab40-22344d083d2c" TargetMode="External"/><Relationship Id="rId_hyperlink_33" Type="http://schemas.openxmlformats.org/officeDocument/2006/relationships/hyperlink" Target="https://www.lavrpack.ru/catalog/?product=0bf47b99-a812-11f0-ab48-22344d083d2c%234ea57ded-db3e-11f0-ab4d-22344d083d2c" TargetMode="External"/><Relationship Id="rId_hyperlink_34" Type="http://schemas.openxmlformats.org/officeDocument/2006/relationships/hyperlink" Target="https://www.lavrpack.ru/catalog/?product=0bf47b99-a812-11f0-ab48-22344d083d2c%23761f7961-db3e-11f0-ab4d-22344d083d2c" TargetMode="External"/><Relationship Id="rId_hyperlink_35" Type="http://schemas.openxmlformats.org/officeDocument/2006/relationships/hyperlink" Target="https://www.lavrpack.ru/catalog/?product=0bf47b99-a812-11f0-ab48-22344d083d2c%235b6277c5-db3e-11f0-ab4d-22344d083d2c" TargetMode="External"/><Relationship Id="rId_hyperlink_36" Type="http://schemas.openxmlformats.org/officeDocument/2006/relationships/hyperlink" Target="https://www.lavrpack.ru/catalog/?product=0bf47b99-a812-11f0-ab48-22344d083d2c%2317f3e0df-a812-11f0-ab48-22344d083d2c" TargetMode="External"/><Relationship Id="rId_hyperlink_37" Type="http://schemas.openxmlformats.org/officeDocument/2006/relationships/hyperlink" Target="https://www.lavrpack.ru/catalog/?product=329b8359-769e-11f0-ab47-22344d083d2c%23516806e6-769e-11f0-ab47-22344d083d2c" TargetMode="External"/><Relationship Id="rId_hyperlink_38" Type="http://schemas.openxmlformats.org/officeDocument/2006/relationships/hyperlink" Target="https://www.lavrpack.ru/catalog/?product=329b8359-769e-11f0-ab47-22344d083d2c%233ee315d5-769e-11f0-ab47-22344d083d2c" TargetMode="External"/><Relationship Id="rId_hyperlink_39" Type="http://schemas.openxmlformats.org/officeDocument/2006/relationships/hyperlink" Target="https://www.lavrpack.ru/catalog/?product=329b8359-769e-11f0-ab47-22344d083d2c%234f84524f-769e-11f0-ab47-22344d083d2c" TargetMode="External"/><Relationship Id="rId_hyperlink_40" Type="http://schemas.openxmlformats.org/officeDocument/2006/relationships/hyperlink" Target="https://www.lavrpack.ru/catalog/?product=329b8359-769e-11f0-ab47-22344d083d2c%235d627c0b-769e-11f0-ab47-22344d083d2c" TargetMode="External"/><Relationship Id="rId_hyperlink_41" Type="http://schemas.openxmlformats.org/officeDocument/2006/relationships/hyperlink" Target="https://www.lavrpack.ru/catalog/?product=329b8359-769e-11f0-ab47-22344d083d2c%235d627c64-769e-11f0-ab47-22344d083d2c" TargetMode="External"/><Relationship Id="rId_hyperlink_42" Type="http://schemas.openxmlformats.org/officeDocument/2006/relationships/hyperlink" Target="https://www.lavrpack.ru/catalog/?product=f19cb295-b749-11f1-ab51-22344d083d2c%23f8030a52-b749-11f1-ab51-22344d083d2c" TargetMode="External"/><Relationship Id="rId_hyperlink_43" Type="http://schemas.openxmlformats.org/officeDocument/2006/relationships/hyperlink" Target="https://www.lavrpack.ru/catalog/?product=f19cb295-b749-11f1-ab51-22344d083d2c%230454946e-b74a-11f1-ab51-22344d083d2c" TargetMode="External"/><Relationship Id="rId_hyperlink_44" Type="http://schemas.openxmlformats.org/officeDocument/2006/relationships/hyperlink" Target="https://www.lavrpack.ru/catalog/?product=f19cb295-b749-11f1-ab51-22344d083d2c%23109d1cf3-b74a-11f1-ab51-22344d083d2c" TargetMode="External"/><Relationship Id="rId_hyperlink_45" Type="http://schemas.openxmlformats.org/officeDocument/2006/relationships/hyperlink" Target="https://www.lavrpack.ru/catalog/?product=053caf1b-6b8b-11ef-ab51-1cfd08767542%2394ae7d43-6b8b-11ef-ab51-1cfd08767542" TargetMode="External"/><Relationship Id="rId_hyperlink_46" Type="http://schemas.openxmlformats.org/officeDocument/2006/relationships/hyperlink" Target="https://www.lavrpack.ru/catalog/?product=053caf1b-6b8b-11ef-ab51-1cfd08767542%2394ae7d33-6b8b-11ef-ab51-1cfd08767542" TargetMode="External"/><Relationship Id="rId_hyperlink_47" Type="http://schemas.openxmlformats.org/officeDocument/2006/relationships/hyperlink" Target="https://www.lavrpack.ru/catalog/?product=053caf1b-6b8b-11ef-ab51-1cfd08767542%23a8d9213b-6b8b-11ef-ab51-1cfd08767542" TargetMode="External"/><Relationship Id="rId_hyperlink_48" Type="http://schemas.openxmlformats.org/officeDocument/2006/relationships/hyperlink" Target="https://www.lavrpack.ru/catalog/?product=053caf1b-6b8b-11ef-ab51-1cfd08767542%237bc2dd38-6b8b-11ef-ab51-1cfd08767542" TargetMode="External"/><Relationship Id="rId_hyperlink_49" Type="http://schemas.openxmlformats.org/officeDocument/2006/relationships/hyperlink" Target="https://www.lavrpack.ru/catalog/?product=62879627-6c0f-11ef-ab51-1cfd08767542%2371a51ef8-6c0f-11ef-ab51-1cfd08767542" TargetMode="External"/><Relationship Id="rId_hyperlink_50" Type="http://schemas.openxmlformats.org/officeDocument/2006/relationships/hyperlink" Target="https://www.lavrpack.ru/catalog/?product=62879627-6c0f-11ef-ab51-1cfd08767542%2371a51ee8-6c0f-11ef-ab51-1cfd08767542" TargetMode="External"/><Relationship Id="rId_hyperlink_51" Type="http://schemas.openxmlformats.org/officeDocument/2006/relationships/hyperlink" Target="https://www.lavrpack.ru/catalog/?product=62879627-6c0f-11ef-ab51-1cfd08767542%237b0ac28a-6c0f-11ef-ab51-1cfd08767542" TargetMode="External"/><Relationship Id="rId_hyperlink_52" Type="http://schemas.openxmlformats.org/officeDocument/2006/relationships/hyperlink" Target="https://www.lavrpack.ru/catalog/?product=62879627-6c0f-11ef-ab51-1cfd08767542%2368f70fc1-6c0f-11ef-ab51-1cfd08767542" TargetMode="External"/><Relationship Id="rId_hyperlink_53" Type="http://schemas.openxmlformats.org/officeDocument/2006/relationships/hyperlink" Target="https://www.lavrpack.ru/catalog/?product=fd5ca7d2-6c0f-11ef-ab51-1cfd08767542%230c992d47-6c10-11ef-ab51-1cfd08767542" TargetMode="External"/><Relationship Id="rId_hyperlink_54" Type="http://schemas.openxmlformats.org/officeDocument/2006/relationships/hyperlink" Target="https://www.lavrpack.ru/catalog/?product=fd5ca7d2-6c0f-11ef-ab51-1cfd08767542%2303e8bc86-6c10-11ef-ab51-1cfd08767542" TargetMode="External"/><Relationship Id="rId_hyperlink_55" Type="http://schemas.openxmlformats.org/officeDocument/2006/relationships/hyperlink" Target="https://www.lavrpack.ru/catalog/?product=fd5ca7d2-6c0f-11ef-ab51-1cfd08767542%231ca05c7c-6c10-11ef-ab51-1cfd08767542" TargetMode="External"/><Relationship Id="rId_hyperlink_56" Type="http://schemas.openxmlformats.org/officeDocument/2006/relationships/hyperlink" Target="https://www.lavrpack.ru/catalog/?product=fd5ca7d2-6c0f-11ef-ab51-1cfd08767542%230c992d66-6c10-11ef-ab51-1cfd08767542" TargetMode="External"/><Relationship Id="rId_hyperlink_57" Type="http://schemas.openxmlformats.org/officeDocument/2006/relationships/hyperlink" Target="https://www.lavrpack.ru/catalog/?product=fd5ca7d2-6c0f-11ef-ab51-1cfd08767542%23136cc9fa-6c10-11ef-ab51-1cfd08767542" TargetMode="External"/><Relationship Id="rId_hyperlink_58" Type="http://schemas.openxmlformats.org/officeDocument/2006/relationships/hyperlink" Target="https://www.lavrpack.ru/catalog/?product=fd5ca7d2-6c0f-11ef-ab51-1cfd08767542%231ca05c6b-6c10-11ef-ab51-1cfd08767542" TargetMode="External"/><Relationship Id="rId_hyperlink_59" Type="http://schemas.openxmlformats.org/officeDocument/2006/relationships/hyperlink" Target="https://www.lavrpack.ru/catalog/?product=a8b9a539-6c10-11ef-ab51-1cfd08767542%23b0db09ce-6c10-11ef-ab51-1cfd08767542" TargetMode="External"/><Relationship Id="rId_hyperlink_60" Type="http://schemas.openxmlformats.org/officeDocument/2006/relationships/hyperlink" Target="https://www.lavrpack.ru/catalog/?product=a8b9a539-6c10-11ef-ab51-1cfd08767542%23b6eb2392-6c10-11ef-ab51-1cfd08767542" TargetMode="External"/><Relationship Id="rId_hyperlink_61" Type="http://schemas.openxmlformats.org/officeDocument/2006/relationships/hyperlink" Target="https://www.lavrpack.ru/catalog/?product=a8b9a539-6c10-11ef-ab51-1cfd08767542%23b0db09be-6c10-11ef-ab51-1cfd08767542" TargetMode="External"/><Relationship Id="rId_hyperlink_62" Type="http://schemas.openxmlformats.org/officeDocument/2006/relationships/hyperlink" Target="https://www.lavrpack.ru/catalog/?product=a8b9a539-6c10-11ef-ab51-1cfd08767542%23c16093f1-6c10-11ef-ab51-1cfd08767542" TargetMode="External"/><Relationship Id="rId_hyperlink_63" Type="http://schemas.openxmlformats.org/officeDocument/2006/relationships/hyperlink" Target="https://www.lavrpack.ru/catalog/?product=a8b9a539-6c10-11ef-ab51-1cfd08767542%23c930e982-6c10-11ef-ab51-1cfd08767542" TargetMode="External"/><Relationship Id="rId_hyperlink_64" Type="http://schemas.openxmlformats.org/officeDocument/2006/relationships/hyperlink" Target="https://www.lavrpack.ru/catalog/?product=a8b9a539-6c10-11ef-ab51-1cfd08767542%23c1609401-6c10-11ef-ab51-1cfd08767542" TargetMode="External"/><Relationship Id="rId_hyperlink_65" Type="http://schemas.openxmlformats.org/officeDocument/2006/relationships/hyperlink" Target="https://www.lavrpack.ru/catalog/?product=03538981-de07-11ef-ab3c-22344d083d2c%2346bdef7f-de07-11ef-ab3c-22344d083d2c" TargetMode="External"/><Relationship Id="rId_hyperlink_66" Type="http://schemas.openxmlformats.org/officeDocument/2006/relationships/hyperlink" Target="https://www.lavrpack.ru/catalog/?product=03538981-de07-11ef-ab3c-22344d083d2c%23249c6628-de07-11ef-ab3c-22344d083d2c" TargetMode="External"/><Relationship Id="rId_hyperlink_67" Type="http://schemas.openxmlformats.org/officeDocument/2006/relationships/hyperlink" Target="https://www.lavrpack.ru/catalog/?product=03538981-de07-11ef-ab3c-22344d083d2c%23397c1407-de07-11ef-ab3c-22344d083d2c" TargetMode="External"/><Relationship Id="rId_hyperlink_68" Type="http://schemas.openxmlformats.org/officeDocument/2006/relationships/hyperlink" Target="https://www.lavrpack.ru/catalog/?product=03538981-de07-11ef-ab3c-22344d083d2c%231e6fcf27-de07-11ef-ab3c-22344d083d2c" TargetMode="External"/><Relationship Id="rId_hyperlink_69" Type="http://schemas.openxmlformats.org/officeDocument/2006/relationships/hyperlink" Target="https://www.lavrpack.ru/catalog/?product=bb9ec4ee-de08-11ef-ab3c-22344d083d2c%2306a16e8b-b755-11f1-ab51-22344d083d2c" TargetMode="External"/><Relationship Id="rId_hyperlink_70" Type="http://schemas.openxmlformats.org/officeDocument/2006/relationships/hyperlink" Target="https://www.lavrpack.ru/catalog/?product=aa4ec68b-de09-11ef-ab3c-22344d083d2c%23b169231c-de09-11ef-ab3c-22344d083d2c" TargetMode="External"/><Relationship Id="rId_hyperlink_71" Type="http://schemas.openxmlformats.org/officeDocument/2006/relationships/hyperlink" Target="https://www.lavrpack.ru/catalog/?product=a68bc147-b7d7-11f1-ab51-22344d083d2c%23b372fcba-b7d7-11f1-ab51-22344d083d2c" TargetMode="External"/><Relationship Id="rId_hyperlink_72" Type="http://schemas.openxmlformats.org/officeDocument/2006/relationships/hyperlink" Target="https://www.lavrpack.ru/catalog/?product=eef85135-5a60-11f1-ab50-22344d083d2c%235a9538d1-b74b-11f1-ab51-22344d083d2c" TargetMode="External"/><Relationship Id="rId_hyperlink_73" Type="http://schemas.openxmlformats.org/officeDocument/2006/relationships/hyperlink" Target="https://www.lavrpack.ru/catalog/?product=eef85135-5a60-11f1-ab50-22344d083d2c%2302d37f2d-5a61-11f1-ab50-22344d083d2c" TargetMode="External"/><Relationship Id="rId_hyperlink_74" Type="http://schemas.openxmlformats.org/officeDocument/2006/relationships/hyperlink" Target="https://www.lavrpack.ru/catalog/?product=eef85135-5a60-11f1-ab50-22344d083d2c%239cef987e-b74b-11f1-ab51-22344d083d2c" TargetMode="External"/><Relationship Id="rId_hyperlink_75" Type="http://schemas.openxmlformats.org/officeDocument/2006/relationships/hyperlink" Target="https://www.lavrpack.ru/catalog/?product=eef85135-5a60-11f1-ab50-22344d083d2c%23091f4436-5a61-11f1-ab50-22344d083d2c" TargetMode="External"/><Relationship Id="rId_hyperlink_76" Type="http://schemas.openxmlformats.org/officeDocument/2006/relationships/hyperlink" Target="https://www.lavrpack.ru/catalog/?product=eef85135-5a60-11f1-ab50-22344d083d2c%232d1574e1-b74b-11f1-ab51-22344d083d2c" TargetMode="External"/><Relationship Id="rId_hyperlink_77" Type="http://schemas.openxmlformats.org/officeDocument/2006/relationships/hyperlink" Target="https://www.lavrpack.ru/catalog/?product=d5719472-5a62-11f1-ab50-22344d083d2c%238ebf1638-b750-11f1-ab51-22344d083d2c" TargetMode="External"/><Relationship Id="rId_hyperlink_78" Type="http://schemas.openxmlformats.org/officeDocument/2006/relationships/hyperlink" Target="https://www.lavrpack.ru/catalog/?product=d5719472-5a62-11f1-ab50-22344d083d2c%23dd15c29a-5a62-11f1-ab50-22344d083d2c" TargetMode="External"/><Relationship Id="rId_hyperlink_79" Type="http://schemas.openxmlformats.org/officeDocument/2006/relationships/hyperlink" Target="https://www.lavrpack.ru/catalog/?product=d5719472-5a62-11f1-ab50-22344d083d2c%23dd15c377-5a62-11f1-ab50-22344d083d2c" TargetMode="External"/><Relationship Id="rId_hyperlink_80" Type="http://schemas.openxmlformats.org/officeDocument/2006/relationships/hyperlink" Target="https://www.lavrpack.ru/catalog/?product=d5719472-5a62-11f1-ab50-22344d083d2c%2381c00ce4-b750-11f1-ab51-22344d083d2c" TargetMode="External"/><Relationship Id="rId_hyperlink_81" Type="http://schemas.openxmlformats.org/officeDocument/2006/relationships/hyperlink" Target="https://www.lavrpack.ru/catalog/?product=d5719472-5a62-11f1-ab50-22344d083d2c%2388af43d1-b750-11f1-ab51-22344d083d2c" TargetMode="External"/><Relationship Id="rId_hyperlink_82" Type="http://schemas.openxmlformats.org/officeDocument/2006/relationships/hyperlink" Target="https://www.lavrpack.ru/catalog/?product=d59a8037-6c1a-11ef-ab51-1cfd08767542%23deb3d879-6c1a-11ef-ab51-1cfd08767542" TargetMode="External"/><Relationship Id="rId_hyperlink_83" Type="http://schemas.openxmlformats.org/officeDocument/2006/relationships/hyperlink" Target="https://www.lavrpack.ru/catalog/?product=d59a8037-6c1a-11ef-ab51-1cfd08767542%23cf73e351-76a1-11f0-ab47-22344d083d2c" TargetMode="External"/><Relationship Id="rId_hyperlink_84" Type="http://schemas.openxmlformats.org/officeDocument/2006/relationships/hyperlink" Target="https://www.lavrpack.ru/catalog/?product=d59a8037-6c1a-11ef-ab51-1cfd08767542%2313b69f68-6c1b-11ef-ab51-1cfd08767542" TargetMode="External"/><Relationship Id="rId_hyperlink_85" Type="http://schemas.openxmlformats.org/officeDocument/2006/relationships/hyperlink" Target="https://www.lavrpack.ru/catalog/?product=d59a8037-6c1a-11ef-ab51-1cfd08767542%230bf95d62-6c1b-11ef-ab51-1cfd08767542" TargetMode="External"/><Relationship Id="rId_hyperlink_86" Type="http://schemas.openxmlformats.org/officeDocument/2006/relationships/hyperlink" Target="https://www.lavrpack.ru/catalog/?product=ad961f0c-6c1b-11ef-ab51-1cfd08767542%23ec556f32-5a98-11f1-ab50-22344d083d2c" TargetMode="External"/><Relationship Id="rId_hyperlink_87" Type="http://schemas.openxmlformats.org/officeDocument/2006/relationships/hyperlink" Target="https://www.lavrpack.ru/catalog/?product=ad961f0c-6c1b-11ef-ab51-1cfd08767542%23bf3c27f6-6c1b-11ef-ab51-1cfd08767542" TargetMode="External"/><Relationship Id="rId_hyperlink_88" Type="http://schemas.openxmlformats.org/officeDocument/2006/relationships/hyperlink" Target="https://www.lavrpack.ru/catalog/?product=ad961f0c-6c1b-11ef-ab51-1cfd08767542%232fa63f56-1437-11f0-ab40-22344d083d2c" TargetMode="External"/><Relationship Id="rId_hyperlink_89" Type="http://schemas.openxmlformats.org/officeDocument/2006/relationships/hyperlink" Target="https://www.lavrpack.ru/catalog/?product=ad961f0c-6c1b-11ef-ab51-1cfd08767542%23c5510708-6c1b-11ef-ab51-1cfd08767542" TargetMode="External"/><Relationship Id="rId_hyperlink_90" Type="http://schemas.openxmlformats.org/officeDocument/2006/relationships/hyperlink" Target="https://www.lavrpack.ru/catalog/?product=ad961f0c-6c1b-11ef-ab51-1cfd08767542%23ad961f40-6c1b-11ef-ab51-1cfd08767542" TargetMode="External"/><Relationship Id="rId_hyperlink_91" Type="http://schemas.openxmlformats.org/officeDocument/2006/relationships/hyperlink" Target="https://www.lavrpack.ru/catalog/?product=ad961f0c-6c1b-11ef-ab51-1cfd08767542%23c5510718-6c1b-11ef-ab51-1cfd08767542" TargetMode="External"/><Relationship Id="rId_hyperlink_92" Type="http://schemas.openxmlformats.org/officeDocument/2006/relationships/hyperlink" Target="https://www.lavrpack.ru/catalog/?product=79f4ae81-6c1c-11ef-ab51-1cfd08767542%23d1931672-6c1c-11ef-ab51-1cfd08767542" TargetMode="External"/><Relationship Id="rId_hyperlink_93" Type="http://schemas.openxmlformats.org/officeDocument/2006/relationships/hyperlink" Target="https://www.lavrpack.ru/catalog/?product=79f4ae81-6c1c-11ef-ab51-1cfd08767542%23e04a14fb-6c1c-11ef-ab51-1cfd08767542" TargetMode="External"/><Relationship Id="rId_hyperlink_94" Type="http://schemas.openxmlformats.org/officeDocument/2006/relationships/hyperlink" Target="https://www.lavrpack.ru/catalog/?product=79f4ae81-6c1c-11ef-ab51-1cfd08767542%2386ab175d-6c1c-11ef-ab51-1cfd08767542" TargetMode="External"/><Relationship Id="rId_hyperlink_95" Type="http://schemas.openxmlformats.org/officeDocument/2006/relationships/hyperlink" Target="https://www.lavrpack.ru/catalog/?product=79f4ae81-6c1c-11ef-ab51-1cfd08767542%23a125f79a-1437-11f0-ab40-22344d083d2c" TargetMode="External"/><Relationship Id="rId_hyperlink_96" Type="http://schemas.openxmlformats.org/officeDocument/2006/relationships/hyperlink" Target="https://www.lavrpack.ru/catalog/?product=79f4ae81-6c1c-11ef-ab51-1cfd08767542%235a4e849f-b753-11f1-ab51-22344d083d2c" TargetMode="External"/><Relationship Id="rId_hyperlink_97" Type="http://schemas.openxmlformats.org/officeDocument/2006/relationships/hyperlink" Target="https://www.lavrpack.ru/catalog/?product=79f4ae81-6c1c-11ef-ab51-1cfd08767542%23e6497ed7-6c1c-11ef-ab51-1cfd08767542" TargetMode="External"/><Relationship Id="rId_hyperlink_98" Type="http://schemas.openxmlformats.org/officeDocument/2006/relationships/hyperlink" Target="https://www.lavrpack.ru/catalog/?product=323959c9-5a64-11f1-ab50-22344d083d2c%2399b79839-5a99-11f1-ab50-22344d083d2c" TargetMode="External"/><Relationship Id="rId_hyperlink_99" Type="http://schemas.openxmlformats.org/officeDocument/2006/relationships/hyperlink" Target="https://www.lavrpack.ru/catalog/?product=323959c9-5a64-11f1-ab50-22344d083d2c%23382fb051-5a64-11f1-ab50-22344d083d2c" TargetMode="External"/><Relationship Id="rId_hyperlink_100" Type="http://schemas.openxmlformats.org/officeDocument/2006/relationships/hyperlink" Target="https://www.lavrpack.ru/catalog/?product=323959c9-5a64-11f1-ab50-22344d083d2c%2386304b91-b753-11f1-ab51-22344d083d2c" TargetMode="External"/><Relationship Id="rId_hyperlink_101" Type="http://schemas.openxmlformats.org/officeDocument/2006/relationships/hyperlink" Target="https://www.lavrpack.ru/catalog/?product=be817e05-a819-11f0-ab48-22344d083d2c%23da57fc79-a819-11f0-ab48-22344d083d2c" TargetMode="External"/><Relationship Id="rId_hyperlink_102" Type="http://schemas.openxmlformats.org/officeDocument/2006/relationships/hyperlink" Target="https://www.lavrpack.ru/catalog/?product=be817e05-a819-11f0-ab48-22344d083d2c%23c6cc3bee-a819-11f0-ab48-22344d083d2c" TargetMode="External"/><Relationship Id="rId_hyperlink_103" Type="http://schemas.openxmlformats.org/officeDocument/2006/relationships/hyperlink" Target="https://www.lavrpack.ru/catalog/?product=68c7274e-a81a-11f0-ab48-22344d083d2c%2387bdc740-a81a-11f0-ab48-22344d083d2c" TargetMode="External"/><Relationship Id="rId_hyperlink_104" Type="http://schemas.openxmlformats.org/officeDocument/2006/relationships/hyperlink" Target="https://www.lavrpack.ru/catalog/?product=68c7274e-a81a-11f0-ab48-22344d083d2c%23a3eddf20-a81a-11f0-ab48-22344d083d2c" TargetMode="External"/><Relationship Id="rId_hyperlink_105" Type="http://schemas.openxmlformats.org/officeDocument/2006/relationships/hyperlink" Target="https://www.lavrpack.ru/catalog/?product=68c7274e-a81a-11f0-ab48-22344d083d2c%239c7c048f-a81a-11f0-ab48-22344d083d2c" TargetMode="External"/><Relationship Id="rId_hyperlink_106" Type="http://schemas.openxmlformats.org/officeDocument/2006/relationships/hyperlink" Target="https://www.lavrpack.ru/catalog/?product=203c1104-1449-11f0-ab40-22344d083d2c%2366e66f6f-1449-11f0-ab40-22344d083d2c" TargetMode="External"/><Relationship Id="rId_hyperlink_107" Type="http://schemas.openxmlformats.org/officeDocument/2006/relationships/hyperlink" Target="https://www.lavrpack.ru/catalog/?product=203c1104-1449-11f0-ab40-22344d083d2c%234d4297cd-1449-11f0-ab40-22344d083d2c" TargetMode="External"/><Relationship Id="rId_hyperlink_108" Type="http://schemas.openxmlformats.org/officeDocument/2006/relationships/hyperlink" Target="https://www.lavrpack.ru/catalog/?product=203c1104-1449-11f0-ab40-22344d083d2c%2379365c87-1449-11f0-ab40-22344d083d2c" TargetMode="External"/><Relationship Id="rId_hyperlink_109" Type="http://schemas.openxmlformats.org/officeDocument/2006/relationships/hyperlink" Target="https://www.lavrpack.ru/catalog/?product=203c1104-1449-11f0-ab40-22344d083d2c%23856b6d1d-1449-11f0-ab40-22344d083d2c" TargetMode="External"/><Relationship Id="rId_hyperlink_110" Type="http://schemas.openxmlformats.org/officeDocument/2006/relationships/hyperlink" Target="https://www.lavrpack.ru/catalog/?product=203c1104-1449-11f0-ab40-22344d083d2c%236ce1d43e-1449-11f0-ab40-22344d083d2c" TargetMode="External"/><Relationship Id="rId_hyperlink_111" Type="http://schemas.openxmlformats.org/officeDocument/2006/relationships/hyperlink" Target="https://www.lavrpack.ru/catalog/?product=203c1104-1449-11f0-ab40-22344d083d2c%23ba7197e2-2849-11f1-ab50-22344d083d2c" TargetMode="External"/><Relationship Id="rId_hyperlink_112" Type="http://schemas.openxmlformats.org/officeDocument/2006/relationships/hyperlink" Target="https://www.lavrpack.ru/catalog/?product=203c1104-1449-11f0-ab40-22344d083d2c%23463282d9-1449-11f0-ab40-22344d083d2c" TargetMode="External"/><Relationship Id="rId_hyperlink_113" Type="http://schemas.openxmlformats.org/officeDocument/2006/relationships/hyperlink" Target="https://www.lavrpack.ru/catalog/?product=1f282aa9-6b82-11ef-ab51-1cfd08767542%237ca5afe2-142c-11f0-ab40-22344d083d2c" TargetMode="External"/><Relationship Id="rId_hyperlink_114" Type="http://schemas.openxmlformats.org/officeDocument/2006/relationships/hyperlink" Target="https://www.lavrpack.ru/catalog/?product=1f282aa9-6b82-11ef-ab51-1cfd08767542%232fcd256e-6b82-11ef-ab51-1cfd08767542" TargetMode="External"/><Relationship Id="rId_hyperlink_115" Type="http://schemas.openxmlformats.org/officeDocument/2006/relationships/hyperlink" Target="https://www.lavrpack.ru/catalog/?product=1f282aa9-6b82-11ef-ab51-1cfd08767542%2355016a94-6b82-11ef-ab51-1cfd08767542" TargetMode="External"/><Relationship Id="rId_hyperlink_116" Type="http://schemas.openxmlformats.org/officeDocument/2006/relationships/hyperlink" Target="https://www.lavrpack.ru/catalog/?product=1f282aa9-6b82-11ef-ab51-1cfd08767542%2337695149-6b82-11ef-ab51-1cfd08767542" TargetMode="External"/><Relationship Id="rId_hyperlink_117" Type="http://schemas.openxmlformats.org/officeDocument/2006/relationships/hyperlink" Target="https://www.lavrpack.ru/catalog/?product=3c4ca76c-6b83-11ef-ab51-1cfd08767542%2348ad0055-142d-11f0-ab40-22344d083d2c" TargetMode="External"/><Relationship Id="rId_hyperlink_118" Type="http://schemas.openxmlformats.org/officeDocument/2006/relationships/hyperlink" Target="https://www.lavrpack.ru/catalog/?product=3c4ca76c-6b83-11ef-ab51-1cfd08767542%234c58bac6-6b83-11ef-ab51-1cfd08767542" TargetMode="External"/><Relationship Id="rId_hyperlink_119" Type="http://schemas.openxmlformats.org/officeDocument/2006/relationships/hyperlink" Target="https://www.lavrpack.ru/catalog/?product=3c4ca76c-6b83-11ef-ab51-1cfd08767542%23938e4613-6b83-11ef-ab51-1cfd08767542" TargetMode="External"/><Relationship Id="rId_hyperlink_120" Type="http://schemas.openxmlformats.org/officeDocument/2006/relationships/hyperlink" Target="https://www.lavrpack.ru/catalog/?product=3c4ca76c-6b83-11ef-ab51-1cfd08767542%23802db8f2-6b83-11ef-ab51-1cfd08767542" TargetMode="External"/><Relationship Id="rId_hyperlink_121" Type="http://schemas.openxmlformats.org/officeDocument/2006/relationships/hyperlink" Target="https://www.lavrpack.ru/catalog/?product=3c4ca76c-6b83-11ef-ab51-1cfd08767542%2346168584-6b83-11ef-ab51-1cfd08767542" TargetMode="External"/><Relationship Id="rId_hyperlink_122" Type="http://schemas.openxmlformats.org/officeDocument/2006/relationships/hyperlink" Target="https://www.lavrpack.ru/catalog/?product=3c4ca76c-6b83-11ef-ab51-1cfd08767542%2346168574-6b83-11ef-ab51-1cfd08767542" TargetMode="External"/><Relationship Id="rId_hyperlink_123" Type="http://schemas.openxmlformats.org/officeDocument/2006/relationships/hyperlink" Target="https://www.lavrpack.ru/catalog/?product=3c4ca76c-6b83-11ef-ab51-1cfd08767542%23871ea8e8-6b83-11ef-ab51-1cfd08767542" TargetMode="External"/><Relationship Id="rId_hyperlink_124" Type="http://schemas.openxmlformats.org/officeDocument/2006/relationships/hyperlink" Target="https://www.lavrpack.ru/catalog/?product=1d6e01b8-6c26-11ef-ab51-1cfd08767542%2332c1ca7c-6c26-11ef-ab51-1cfd08767542" TargetMode="External"/><Relationship Id="rId_hyperlink_125" Type="http://schemas.openxmlformats.org/officeDocument/2006/relationships/hyperlink" Target="https://www.lavrpack.ru/catalog/?product=1d6e01b8-6c26-11ef-ab51-1cfd08767542%232c8b889c-6c26-11ef-ab51-1cfd08767542" TargetMode="External"/><Relationship Id="rId_hyperlink_126" Type="http://schemas.openxmlformats.org/officeDocument/2006/relationships/hyperlink" Target="https://www.lavrpack.ru/catalog/?product=1d6e01b8-6c26-11ef-ab51-1cfd08767542%233be70ddc-6c26-11ef-ab51-1cfd08767542" TargetMode="External"/><Relationship Id="rId_hyperlink_127" Type="http://schemas.openxmlformats.org/officeDocument/2006/relationships/hyperlink" Target="https://www.lavrpack.ru/catalog/?product=1d6e01b8-6c26-11ef-ab51-1cfd08767542%23420a3ba2-6c26-11ef-ab51-1cfd08767542" TargetMode="External"/><Relationship Id="rId_hyperlink_128" Type="http://schemas.openxmlformats.org/officeDocument/2006/relationships/hyperlink" Target="https://www.lavrpack.ru/catalog/?product=1d6e01b8-6c26-11ef-ab51-1cfd08767542%232c8b888c-6c26-11ef-ab51-1cfd08767542" TargetMode="External"/><Relationship Id="rId_hyperlink_129" Type="http://schemas.openxmlformats.org/officeDocument/2006/relationships/hyperlink" Target="https://www.lavrpack.ru/catalog/?product=1d6e01b8-6c26-11ef-ab51-1cfd08767542%23263d71c0-6c26-11ef-ab51-1cfd08767542" TargetMode="External"/><Relationship Id="rId_hyperlink_130" Type="http://schemas.openxmlformats.org/officeDocument/2006/relationships/hyperlink" Target="https://www.lavrpack.ru/catalog/?product=1d6e01b8-6c26-11ef-ab51-1cfd08767542%233be70dcc-6c26-11ef-ab51-1cfd08767542" TargetMode="External"/><Relationship Id="rId_hyperlink_131" Type="http://schemas.openxmlformats.org/officeDocument/2006/relationships/hyperlink" Target="https://www.lavrpack.ru/catalog/?product=5cfe24cc-6b85-11ef-ab51-1cfd08767542%2377957a00-6b85-11ef-ab51-1cfd08767542" TargetMode="External"/><Relationship Id="rId_hyperlink_132" Type="http://schemas.openxmlformats.org/officeDocument/2006/relationships/hyperlink" Target="https://www.lavrpack.ru/catalog/?product=5cfe24cc-6b85-11ef-ab51-1cfd08767542%2380959955-6b85-11ef-ab51-1cfd08767542" TargetMode="External"/><Relationship Id="rId_hyperlink_133" Type="http://schemas.openxmlformats.org/officeDocument/2006/relationships/hyperlink" Target="https://www.lavrpack.ru/catalog/?product=5cfe24cc-6b85-11ef-ab51-1cfd08767542%236b0883e6-6b85-11ef-ab51-1cfd08767542" TargetMode="External"/><Relationship Id="rId_hyperlink_134" Type="http://schemas.openxmlformats.org/officeDocument/2006/relationships/hyperlink" Target="https://www.lavrpack.ru/catalog/?product=806b23ed-6b86-11ef-ab51-1cfd08767542%2387bdc9cc-6b86-11ef-ab51-1cfd08767542" TargetMode="External"/><Relationship Id="rId_hyperlink_135" Type="http://schemas.openxmlformats.org/officeDocument/2006/relationships/hyperlink" Target="https://www.lavrpack.ru/catalog/?product=806b23ed-6b86-11ef-ab51-1cfd08767542%23a3189382-6b86-11ef-ab51-1cfd08767542" TargetMode="External"/><Relationship Id="rId_hyperlink_136" Type="http://schemas.openxmlformats.org/officeDocument/2006/relationships/hyperlink" Target="https://www.lavrpack.ru/catalog/?product=806b23ed-6b86-11ef-ab51-1cfd08767542%2387bdc9bc-6b86-11ef-ab51-1cfd08767542" TargetMode="External"/><Relationship Id="rId_hyperlink_137" Type="http://schemas.openxmlformats.org/officeDocument/2006/relationships/hyperlink" Target="https://www.lavrpack.ru/catalog/?product=806b23ed-6b86-11ef-ab51-1cfd08767542%239cfc9024-6b86-11ef-ab51-1cfd08767542" TargetMode="External"/><Relationship Id="rId_hyperlink_138" Type="http://schemas.openxmlformats.org/officeDocument/2006/relationships/hyperlink" Target="https://www.lavrpack.ru/catalog/?product=806b23ed-6b86-11ef-ab51-1cfd08767542%2396459070-6b86-11ef-ab51-1cfd08767542" TargetMode="External"/><Relationship Id="rId_hyperlink_139" Type="http://schemas.openxmlformats.org/officeDocument/2006/relationships/hyperlink" Target="https://www.lavrpack.ru/catalog/?product=905a29bd-5a64-11f1-ab50-22344d083d2c%23aaeada36-5a64-11f1-ab50-22344d083d2c" TargetMode="External"/><Relationship Id="rId_hyperlink_140" Type="http://schemas.openxmlformats.org/officeDocument/2006/relationships/hyperlink" Target="https://www.lavrpack.ru/catalog/?product=905a29bd-5a64-11f1-ab50-22344d083d2c%23988ab14e-5a64-11f1-ab50-22344d083d2c" TargetMode="External"/><Relationship Id="rId_hyperlink_141" Type="http://schemas.openxmlformats.org/officeDocument/2006/relationships/hyperlink" Target="https://www.lavrpack.ru/catalog/?product=905a29bd-5a64-11f1-ab50-22344d083d2c%23988ab194-5a64-11f1-ab50-22344d083d2c" TargetMode="External"/><Relationship Id="rId_hyperlink_142" Type="http://schemas.openxmlformats.org/officeDocument/2006/relationships/hyperlink" Target="https://www.lavrpack.ru/catalog/?product=905a29bd-5a64-11f1-ab50-22344d083d2c%239eabd982-5a64-11f1-ab50-22344d083d2c" TargetMode="External"/><Relationship Id="rId_hyperlink_143" Type="http://schemas.openxmlformats.org/officeDocument/2006/relationships/hyperlink" Target="https://www.lavrpack.ru/catalog/?product=ffb886ff-a675-11ef-ab3b-22344d083d2c%23e8ddce7b-de1a-11ef-ab3c-22344d083d2c" TargetMode="External"/><Relationship Id="rId_hyperlink_144" Type="http://schemas.openxmlformats.org/officeDocument/2006/relationships/hyperlink" Target="https://www.lavrpack.ru/catalog/?product=ffb886ff-a675-11ef-ab3b-22344d083d2c%239132d380-de1b-11ef-ab3c-22344d083d2c" TargetMode="External"/><Relationship Id="rId_hyperlink_145" Type="http://schemas.openxmlformats.org/officeDocument/2006/relationships/hyperlink" Target="https://www.lavrpack.ru/catalog/?product=ffb886ff-a675-11ef-ab3b-22344d083d2c%23cb731b93-284a-11f1-ab50-22344d083d2c" TargetMode="External"/><Relationship Id="rId_hyperlink_146" Type="http://schemas.openxmlformats.org/officeDocument/2006/relationships/hyperlink" Target="https://www.lavrpack.ru/catalog/?product=ffb886ff-a675-11ef-ab3b-22344d083d2c%23b2e27ea8-363e-11f0-ab41-22344d083d2c" TargetMode="External"/><Relationship Id="rId_hyperlink_147" Type="http://schemas.openxmlformats.org/officeDocument/2006/relationships/hyperlink" Target="https://www.lavrpack.ru/catalog/?product=ffb886ff-a675-11ef-ab3b-22344d083d2c%231577e1f9-a676-11ef-ab3b-22344d083d2c" TargetMode="External"/><Relationship Id="rId_hyperlink_148" Type="http://schemas.openxmlformats.org/officeDocument/2006/relationships/hyperlink" Target="https://www.lavrpack.ru/catalog/?product=ffb886ff-a675-11ef-ab3b-22344d083d2c%2351927d4c-a676-11ef-ab3b-22344d083d2c" TargetMode="External"/><Relationship Id="rId_hyperlink_149" Type="http://schemas.openxmlformats.org/officeDocument/2006/relationships/hyperlink" Target="https://www.lavrpack.ru/catalog/?product=ffb886ff-a675-11ef-ab3b-22344d083d2c%2397c0b637-a676-11ef-ab3b-22344d083d2c" TargetMode="External"/><Relationship Id="rId_hyperlink_150" Type="http://schemas.openxmlformats.org/officeDocument/2006/relationships/hyperlink" Target="https://www.lavrpack.ru/catalog/?product=ffb886ff-a675-11ef-ab3b-22344d083d2c%23ccb058b7-a676-11ef-ab3b-22344d083d2c" TargetMode="External"/><Relationship Id="rId_hyperlink_151" Type="http://schemas.openxmlformats.org/officeDocument/2006/relationships/hyperlink" Target="https://www.lavrpack.ru/catalog/?product=ffb886ff-a675-11ef-ab3b-22344d083d2c%23eab2ca39-a676-11ef-ab3b-22344d083d2c" TargetMode="External"/><Relationship Id="rId_hyperlink_152" Type="http://schemas.openxmlformats.org/officeDocument/2006/relationships/hyperlink" Target="https://www.lavrpack.ru/catalog/?product=ffb886ff-a675-11ef-ab3b-22344d083d2c%2336067bf3-a676-11ef-ab3b-22344d083d2c" TargetMode="External"/><Relationship Id="rId_hyperlink_153" Type="http://schemas.openxmlformats.org/officeDocument/2006/relationships/hyperlink" Target="https://www.lavrpack.ru/catalog/?product=ffb886ff-a675-11ef-ab3b-22344d083d2c%2366814627-a676-11ef-ab3b-22344d083d2c" TargetMode="External"/><Relationship Id="rId_hyperlink_154" Type="http://schemas.openxmlformats.org/officeDocument/2006/relationships/hyperlink" Target="https://www.lavrpack.ru/catalog/?product=ffb886ff-a675-11ef-ab3b-22344d083d2c%239dcd002b-de1b-11ef-ab3c-22344d083d2c" TargetMode="External"/><Relationship Id="rId_hyperlink_155" Type="http://schemas.openxmlformats.org/officeDocument/2006/relationships/hyperlink" Target="https://www.lavrpack.ru/catalog/?product=ffb886ff-a675-11ef-ab3b-22344d083d2c%23894568bb-1430-11f0-ab40-22344d083d2c" TargetMode="External"/><Relationship Id="rId_hyperlink_156" Type="http://schemas.openxmlformats.org/officeDocument/2006/relationships/hyperlink" Target="https://www.lavrpack.ru/catalog/?product=ffb886ff-a675-11ef-ab3b-22344d083d2c%238050a438-b7d8-11f1-ab51-22344d083d2c" TargetMode="External"/><Relationship Id="rId_hyperlink_157" Type="http://schemas.openxmlformats.org/officeDocument/2006/relationships/hyperlink" Target="https://www.lavrpack.ru/catalog/?product=ffb886ff-a675-11ef-ab3b-22344d083d2c%23ae0011ba-b7d8-11f1-ab51-22344d083d2c" TargetMode="External"/><Relationship Id="rId_hyperlink_158" Type="http://schemas.openxmlformats.org/officeDocument/2006/relationships/hyperlink" Target="https://www.lavrpack.ru/catalog/?product=ffb886ff-a675-11ef-ab3b-22344d083d2c%23ba4ce0dd-b7d8-11f1-ab51-22344d083d2c" TargetMode="External"/><Relationship Id="rId_hyperlink_159" Type="http://schemas.openxmlformats.org/officeDocument/2006/relationships/hyperlink" Target="https://www.lavrpack.ru/catalog/?product=ffb886ff-a675-11ef-ab3b-22344d083d2c%2302eb4555-de1b-11ef-ab3c-22344d083d2c" TargetMode="External"/><Relationship Id="rId_hyperlink_160" Type="http://schemas.openxmlformats.org/officeDocument/2006/relationships/hyperlink" Target="https://www.lavrpack.ru/catalog/?product=ffb886ff-a675-11ef-ab3b-22344d083d2c%23b4575e9b-de1b-11ef-ab3c-22344d083d2c" TargetMode="External"/><Relationship Id="rId_hyperlink_161" Type="http://schemas.openxmlformats.org/officeDocument/2006/relationships/hyperlink" Target="https://www.lavrpack.ru/catalog/?product=ffb886ff-a675-11ef-ab3b-22344d083d2c%23e02eff29-284a-11f1-ab50-22344d083d2c" TargetMode="External"/><Relationship Id="rId_hyperlink_162" Type="http://schemas.openxmlformats.org/officeDocument/2006/relationships/hyperlink" Target="https://www.lavrpack.ru/catalog/?product=ffb886ff-a675-11ef-ab3b-22344d083d2c%23fdae76c6-8a38-11f0-ab48-22344d083d2c" TargetMode="External"/><Relationship Id="rId_hyperlink_163" Type="http://schemas.openxmlformats.org/officeDocument/2006/relationships/hyperlink" Target="https://www.lavrpack.ru/catalog/?product=ffb886ff-a675-11ef-ab3b-22344d083d2c%23fb652d8e-363e-11f0-ab41-22344d083d2c" TargetMode="External"/><Relationship Id="rId_hyperlink_164" Type="http://schemas.openxmlformats.org/officeDocument/2006/relationships/hyperlink" Target="https://www.lavrpack.ru/catalog/?product=ffb886ff-a675-11ef-ab3b-22344d083d2c%23bebb2334-de1a-11ef-ab3c-22344d083d2c" TargetMode="External"/><Relationship Id="rId_hyperlink_165" Type="http://schemas.openxmlformats.org/officeDocument/2006/relationships/hyperlink" Target="https://www.lavrpack.ru/catalog/?product=ffb886ff-a675-11ef-ab3b-22344d083d2c%237eaa13dc-de1b-11ef-ab3c-22344d083d2c" TargetMode="External"/><Relationship Id="rId_hyperlink_166" Type="http://schemas.openxmlformats.org/officeDocument/2006/relationships/hyperlink" Target="https://www.lavrpack.ru/catalog/?product=ffb886ff-a675-11ef-ab3b-22344d083d2c%237991b6d6-a676-11ef-ab3b-22344d083d2c" TargetMode="External"/><Relationship Id="rId_hyperlink_167" Type="http://schemas.openxmlformats.org/officeDocument/2006/relationships/hyperlink" Target="https://www.lavrpack.ru/catalog/?product=ffb886ff-a675-11ef-ab3b-22344d083d2c%23b23b29d7-1430-11f0-ab40-22344d083d2c" TargetMode="External"/><Relationship Id="rId_hyperlink_168" Type="http://schemas.openxmlformats.org/officeDocument/2006/relationships/hyperlink" Target="https://www.lavrpack.ru/catalog/?product=ffb886ff-a675-11ef-ab3b-22344d083d2c%23fdedcbeb-db3a-11f0-ab4d-22344d083d2c" TargetMode="External"/><Relationship Id="rId_hyperlink_169" Type="http://schemas.openxmlformats.org/officeDocument/2006/relationships/hyperlink" Target="https://www.lavrpack.ru/catalog/?product=ffb886ff-a675-11ef-ab3b-22344d083d2c%23f9f87224-284a-11f1-ab50-22344d083d2c" TargetMode="External"/><Relationship Id="rId_hyperlink_170" Type="http://schemas.openxmlformats.org/officeDocument/2006/relationships/hyperlink" Target="https://www.lavrpack.ru/catalog/?product=ffb886ff-a675-11ef-ab3b-22344d083d2c%23126fa7b0-8a39-11f0-ab48-22344d083d2c" TargetMode="External"/><Relationship Id="rId_hyperlink_171" Type="http://schemas.openxmlformats.org/officeDocument/2006/relationships/hyperlink" Target="https://www.lavrpack.ru/catalog/?product=ffb886ff-a675-11ef-ab3b-22344d083d2c%2322614dd9-363f-11f0-ab41-22344d083d2c" TargetMode="External"/><Relationship Id="rId_hyperlink_172" Type="http://schemas.openxmlformats.org/officeDocument/2006/relationships/hyperlink" Target="https://www.lavrpack.ru/catalog/?product=6ecf557a-de1c-11ef-ab3c-22344d083d2c%237c32dcd9-de1c-11ef-ab3c-22344d083d2c" TargetMode="External"/><Relationship Id="rId_hyperlink_173" Type="http://schemas.openxmlformats.org/officeDocument/2006/relationships/hyperlink" Target="https://www.lavrpack.ru/catalog/?product=5f08a601-de1d-11ef-ab3c-22344d083d2c%23727194ec-de1d-11ef-ab3c-22344d083d2c" TargetMode="External"/><Relationship Id="rId_hyperlink_174" Type="http://schemas.openxmlformats.org/officeDocument/2006/relationships/hyperlink" Target="https://www.lavrpack.ru/catalog/?product=5f08a601-de1d-11ef-ab3c-22344d083d2c%236c29bc36-de1d-11ef-ab3c-22344d083d2c" TargetMode="External"/><Relationship Id="rId_hyperlink_175" Type="http://schemas.openxmlformats.org/officeDocument/2006/relationships/hyperlink" Target="https://www.lavrpack.ru/catalog/?product=5f08a601-de1d-11ef-ab3c-22344d083d2c%2378ebaf38-de1d-11ef-ab3c-22344d083d2c" TargetMode="External"/><Relationship Id="rId_hyperlink_176" Type="http://schemas.openxmlformats.org/officeDocument/2006/relationships/hyperlink" Target="https://www.lavrpack.ru/catalog/?product=e2923066-1459-11f0-ab40-22344d083d2c%23185a6751-5a6a-11f1-ab50-22344d083d2c" TargetMode="External"/><Relationship Id="rId_hyperlink_177" Type="http://schemas.openxmlformats.org/officeDocument/2006/relationships/hyperlink" Target="https://www.lavrpack.ru/catalog/?product=e2923066-1459-11f0-ab40-22344d083d2c%23f008b743-1459-11f0-ab40-22344d083d2c" TargetMode="External"/><Relationship Id="rId_hyperlink_178" Type="http://schemas.openxmlformats.org/officeDocument/2006/relationships/hyperlink" Target="https://www.lavrpack.ru/catalog/?product=144ccfcb-a5ab-11ef-ab3b-22344d083d2c%234ff5e282-a5ab-11ef-ab3b-22344d083d2c" TargetMode="External"/><Relationship Id="rId_hyperlink_179" Type="http://schemas.openxmlformats.org/officeDocument/2006/relationships/hyperlink" Target="https://www.lavrpack.ru/catalog/?product=144ccfcb-a5ab-11ef-ab3b-22344d083d2c%23621f1c1a-a5ab-11ef-ab3b-22344d083d2c" TargetMode="External"/><Relationship Id="rId_hyperlink_180" Type="http://schemas.openxmlformats.org/officeDocument/2006/relationships/hyperlink" Target="https://www.lavrpack.ru/catalog/?product=144ccfcb-a5ab-11ef-ab3b-22344d083d2c%2347f83a42-a5ab-11ef-ab3b-22344d083d2c" TargetMode="External"/><Relationship Id="rId_hyperlink_181" Type="http://schemas.openxmlformats.org/officeDocument/2006/relationships/hyperlink" Target="https://www.lavrpack.ru/catalog/?product=144ccfcb-a5ab-11ef-ab3b-22344d083d2c%23530b827e-b7d9-11f1-ab51-22344d083d2c" TargetMode="External"/><Relationship Id="rId_hyperlink_182" Type="http://schemas.openxmlformats.org/officeDocument/2006/relationships/hyperlink" Target="https://www.lavrpack.ru/catalog/?product=e54cbcc7-a5ac-11ef-ab3b-22344d083d2c%232a116c35-a5ad-11ef-ab3b-22344d083d2c" TargetMode="External"/><Relationship Id="rId_hyperlink_183" Type="http://schemas.openxmlformats.org/officeDocument/2006/relationships/hyperlink" Target="https://www.lavrpack.ru/catalog/?product=e54cbcc7-a5ac-11ef-ab3b-22344d083d2c%2384166433-b7d9-11f1-ab51-22344d083d2c" TargetMode="External"/><Relationship Id="rId_hyperlink_184" Type="http://schemas.openxmlformats.org/officeDocument/2006/relationships/hyperlink" Target="https://www.lavrpack.ru/catalog/?product=e54cbcc7-a5ac-11ef-ab3b-22344d083d2c%2317cd8f66-a5ad-11ef-ab3b-22344d083d2c" TargetMode="External"/><Relationship Id="rId_hyperlink_185" Type="http://schemas.openxmlformats.org/officeDocument/2006/relationships/hyperlink" Target="https://www.lavrpack.ru/catalog/?product=e54cbcc7-a5ac-11ef-ab3b-22344d083d2c%23114a3dd5-a5ad-11ef-ab3b-22344d083d2c" TargetMode="External"/><Relationship Id="rId_hyperlink_186" Type="http://schemas.openxmlformats.org/officeDocument/2006/relationships/hyperlink" Target="https://www.lavrpack.ru/catalog/?product=619cfafd-a5ae-11ef-ab3b-22344d083d2c%23a4f64a8b-a5ae-11ef-ab3b-22344d083d2c" TargetMode="External"/><Relationship Id="rId_hyperlink_187" Type="http://schemas.openxmlformats.org/officeDocument/2006/relationships/hyperlink" Target="https://www.lavrpack.ru/catalog/?product=619cfafd-a5ae-11ef-ab3b-22344d083d2c%2396e930a6-a5ae-11ef-ab3b-22344d083d2c" TargetMode="External"/><Relationship Id="rId_hyperlink_188" Type="http://schemas.openxmlformats.org/officeDocument/2006/relationships/hyperlink" Target="https://www.lavrpack.ru/catalog/?product=619cfafd-a5ae-11ef-ab3b-22344d083d2c%238f451e15-a5ae-11ef-ab3b-22344d083d2c" TargetMode="External"/><Relationship Id="rId_hyperlink_189" Type="http://schemas.openxmlformats.org/officeDocument/2006/relationships/hyperlink" Target="https://www.lavrpack.ru/catalog/?product=d6f27d19-a5af-11ef-ab3b-22344d083d2c%23faa14083-a5af-11ef-ab3b-22344d083d2c" TargetMode="External"/><Relationship Id="rId_hyperlink_190" Type="http://schemas.openxmlformats.org/officeDocument/2006/relationships/hyperlink" Target="https://www.lavrpack.ru/catalog/?product=d6f27d19-a5af-11ef-ab3b-22344d083d2c%23fe032303-b7d9-11f1-ab51-22344d083d2c" TargetMode="External"/><Relationship Id="rId_hyperlink_191" Type="http://schemas.openxmlformats.org/officeDocument/2006/relationships/hyperlink" Target="https://www.lavrpack.ru/catalog/?product=d6f27d19-a5af-11ef-ab3b-22344d083d2c%23f3f93280-a5af-11ef-ab3b-22344d083d2c" TargetMode="External"/><Relationship Id="rId_hyperlink_192" Type="http://schemas.openxmlformats.org/officeDocument/2006/relationships/hyperlink" Target="https://www.lavrpack.ru/catalog/?product=d6f27d19-a5af-11ef-ab3b-22344d083d2c%23e54c8d0d-a5af-11ef-ab3b-22344d083d2c" TargetMode="External"/><Relationship Id="rId_hyperlink_193" Type="http://schemas.openxmlformats.org/officeDocument/2006/relationships/hyperlink" Target="https://www.lavrpack.ru/catalog/?product=d6f27d19-a5af-11ef-ab3b-22344d083d2c%2300c412e1-a5b0-11ef-ab3b-22344d083d2c" TargetMode="External"/><Relationship Id="rId_hyperlink_194" Type="http://schemas.openxmlformats.org/officeDocument/2006/relationships/hyperlink" Target="https://www.lavrpack.ru/catalog/?product=d6f27d19-a5af-11ef-ab3b-22344d083d2c%23ec708cce-a5af-11ef-ab3b-22344d083d2c" TargetMode="External"/><Relationship Id="rId_hyperlink_195" Type="http://schemas.openxmlformats.org/officeDocument/2006/relationships/hyperlink" Target="https://www.lavrpack.ru/catalog/?product=d6f27d19-a5af-11ef-ab3b-22344d083d2c%2303fb4f8f-b7da-11f1-ab51-22344d083d2c" TargetMode="External"/><Relationship Id="rId_hyperlink_196" Type="http://schemas.openxmlformats.org/officeDocument/2006/relationships/hyperlink" Target="https://www.lavrpack.ru/catalog/?product=34296a8b-a639-11ef-ab3b-22344d083d2c%2341527c88-a639-11ef-ab3b-22344d083d2c" TargetMode="External"/><Relationship Id="rId_hyperlink_197" Type="http://schemas.openxmlformats.org/officeDocument/2006/relationships/hyperlink" Target="https://www.lavrpack.ru/catalog/?product=34296a8b-a639-11ef-ab3b-22344d083d2c%236157a716-a639-11ef-ab3b-22344d083d2c" TargetMode="External"/><Relationship Id="rId_hyperlink_198" Type="http://schemas.openxmlformats.org/officeDocument/2006/relationships/hyperlink" Target="https://www.lavrpack.ru/catalog/?product=34296a8b-a639-11ef-ab3b-22344d083d2c%2355018ff8-a639-11ef-ab3b-22344d083d2c" TargetMode="External"/><Relationship Id="rId_hyperlink_199" Type="http://schemas.openxmlformats.org/officeDocument/2006/relationships/hyperlink" Target="https://www.lavrpack.ru/catalog/?product=34296a8b-a639-11ef-ab3b-22344d083d2c%235b127e1d-a639-11ef-ab3b-22344d083d2c" TargetMode="External"/><Relationship Id="rId_hyperlink_200" Type="http://schemas.openxmlformats.org/officeDocument/2006/relationships/hyperlink" Target="https://www.lavrpack.ru/catalog/?product=dd0d4d3a-a63a-11ef-ab3b-22344d083d2c%236a0d285e-a63b-11ef-ab3b-22344d083d2c" TargetMode="External"/><Relationship Id="rId_hyperlink_201" Type="http://schemas.openxmlformats.org/officeDocument/2006/relationships/hyperlink" Target="https://www.lavrpack.ru/catalog/?product=dd0d4d3a-a63a-11ef-ab3b-22344d083d2c%233d224921-a63b-11ef-ab3b-22344d083d2c" TargetMode="External"/><Relationship Id="rId_hyperlink_202" Type="http://schemas.openxmlformats.org/officeDocument/2006/relationships/hyperlink" Target="https://www.lavrpack.ru/catalog/?product=dd0d4d3a-a63a-11ef-ab3b-22344d083d2c%23160e5054-a63b-11ef-ab3b-22344d083d2c" TargetMode="External"/><Relationship Id="rId_hyperlink_203" Type="http://schemas.openxmlformats.org/officeDocument/2006/relationships/hyperlink" Target="https://www.lavrpack.ru/catalog/?product=dd0d4d3a-a63a-11ef-ab3b-22344d083d2c%236314d980-a63b-11ef-ab3b-22344d083d2c" TargetMode="External"/><Relationship Id="rId_hyperlink_204" Type="http://schemas.openxmlformats.org/officeDocument/2006/relationships/hyperlink" Target="https://www.lavrpack.ru/catalog/?product=dd0d4d3a-a63a-11ef-ab3b-22344d083d2c%235d18a393-a63b-11ef-ab3b-22344d083d2c" TargetMode="External"/><Relationship Id="rId_hyperlink_205" Type="http://schemas.openxmlformats.org/officeDocument/2006/relationships/hyperlink" Target="https://www.lavrpack.ru/catalog/?product=c8d1d674-a598-11ef-ab3b-22344d083d2c%23db847201-a598-11ef-ab3b-22344d083d2c" TargetMode="External"/><Relationship Id="rId_hyperlink_206" Type="http://schemas.openxmlformats.org/officeDocument/2006/relationships/hyperlink" Target="https://www.lavrpack.ru/catalog/?product=c8d1d674-a598-11ef-ab3b-22344d083d2c%231a5d4dfb-a599-11ef-ab3b-22344d083d2c" TargetMode="External"/><Relationship Id="rId_hyperlink_207" Type="http://schemas.openxmlformats.org/officeDocument/2006/relationships/hyperlink" Target="https://www.lavrpack.ru/catalog/?product=c8d1d674-a598-11ef-ab3b-22344d083d2c%2310865fab-a599-11ef-ab3b-22344d083d2c" TargetMode="External"/><Relationship Id="rId_hyperlink_208" Type="http://schemas.openxmlformats.org/officeDocument/2006/relationships/hyperlink" Target="https://www.lavrpack.ru/catalog/?product=3eaaac35-a59d-11ef-ab3b-22344d083d2c%23b16e12c4-a59d-11ef-ab3b-22344d083d2c" TargetMode="External"/><Relationship Id="rId_hyperlink_209" Type="http://schemas.openxmlformats.org/officeDocument/2006/relationships/hyperlink" Target="https://www.lavrpack.ru/catalog/?product=3eaaac35-a59d-11ef-ab3b-22344d083d2c%23c496004a-a59d-11ef-ab3b-22344d083d2c" TargetMode="External"/><Relationship Id="rId_hyperlink_210" Type="http://schemas.openxmlformats.org/officeDocument/2006/relationships/hyperlink" Target="https://www.lavrpack.ru/catalog/?product=3eaaac35-a59d-11ef-ab3b-22344d083d2c%235c15b9c2-a59d-11ef-ab3b-22344d083d2c" TargetMode="External"/><Relationship Id="rId_hyperlink_211" Type="http://schemas.openxmlformats.org/officeDocument/2006/relationships/hyperlink" Target="https://www.lavrpack.ru/catalog/?product=7d1dd8a8-a5a0-11ef-ab3b-22344d083d2c%2396693032-363c-11f0-ab41-22344d083d2c" TargetMode="External"/><Relationship Id="rId_hyperlink_212" Type="http://schemas.openxmlformats.org/officeDocument/2006/relationships/hyperlink" Target="https://www.lavrpack.ru/catalog/?product=7d1dd8a8-a5a0-11ef-ab3b-22344d083d2c%23af72606a-a5a0-11ef-ab3b-22344d083d2c" TargetMode="External"/><Relationship Id="rId_hyperlink_213" Type="http://schemas.openxmlformats.org/officeDocument/2006/relationships/hyperlink" Target="https://www.lavrpack.ru/catalog/?product=7d1dd8a8-a5a0-11ef-ab3b-22344d083d2c%23d4b4c198-a5a0-11ef-ab3b-22344d083d2c" TargetMode="External"/><Relationship Id="rId_hyperlink_214" Type="http://schemas.openxmlformats.org/officeDocument/2006/relationships/hyperlink" Target="https://www.lavrpack.ru/catalog/?product=7d1dd8a8-a5a0-11ef-ab3b-22344d083d2c%23966e437e-a5a0-11ef-ab3b-22344d083d2c" TargetMode="External"/><Relationship Id="rId_hyperlink_215" Type="http://schemas.openxmlformats.org/officeDocument/2006/relationships/hyperlink" Target="https://www.lavrpack.ru/catalog/?product=7d1dd8a8-a5a0-11ef-ab3b-22344d083d2c%23b59c767c-a5a0-11ef-ab3b-22344d083d2c" TargetMode="External"/><Relationship Id="rId_hyperlink_216" Type="http://schemas.openxmlformats.org/officeDocument/2006/relationships/hyperlink" Target="https://www.lavrpack.ru/catalog/?product=02877e1e-a5a2-11ef-ab3b-22344d083d2c%230fcbe6c8-a5a2-11ef-ab3b-22344d083d2c" TargetMode="External"/><Relationship Id="rId_hyperlink_217" Type="http://schemas.openxmlformats.org/officeDocument/2006/relationships/hyperlink" Target="https://www.lavrpack.ru/catalog/?product=02877e1e-a5a2-11ef-ab3b-22344d083d2c%23266c56ab-a5a2-11ef-ab3b-22344d083d2c" TargetMode="External"/><Relationship Id="rId_hyperlink_218" Type="http://schemas.openxmlformats.org/officeDocument/2006/relationships/hyperlink" Target="https://www.lavrpack.ru/catalog/?product=02877e1e-a5a2-11ef-ab3b-22344d083d2c%23202c0613-a5a2-11ef-ab3b-22344d083d2c" TargetMode="External"/><Relationship Id="rId_hyperlink_219" Type="http://schemas.openxmlformats.org/officeDocument/2006/relationships/hyperlink" Target="https://www.lavrpack.ru/catalog/?product=02877e1e-a5a2-11ef-ab3b-22344d083d2c%232c88d3e1-a5a2-11ef-ab3b-22344d083d2c" TargetMode="External"/><Relationship Id="rId_hyperlink_220" Type="http://schemas.openxmlformats.org/officeDocument/2006/relationships/hyperlink" Target="https://www.lavrpack.ru/catalog/?product=5f8f6b8a-a5a3-11ef-ab3b-22344d083d2c%23bb533e0e-a5a3-11ef-ab3b-22344d083d2c" TargetMode="External"/><Relationship Id="rId_hyperlink_221" Type="http://schemas.openxmlformats.org/officeDocument/2006/relationships/hyperlink" Target="https://www.lavrpack.ru/catalog/?product=5f8f6b8a-a5a3-11ef-ab3b-22344d083d2c%23c89afdb5-a5a3-11ef-ab3b-22344d083d2c" TargetMode="External"/><Relationship Id="rId_hyperlink_222" Type="http://schemas.openxmlformats.org/officeDocument/2006/relationships/hyperlink" Target="https://www.lavrpack.ru/catalog/?product=5f8f6b8a-a5a3-11ef-ab3b-22344d083d2c%23b519cb45-a5a3-11ef-ab3b-22344d083d2c" TargetMode="External"/><Relationship Id="rId_hyperlink_223" Type="http://schemas.openxmlformats.org/officeDocument/2006/relationships/hyperlink" Target="https://www.lavrpack.ru/catalog/?product=5f8f6b8a-a5a3-11ef-ab3b-22344d083d2c%23adc4ae76-a5a3-11ef-ab3b-22344d083d2c" TargetMode="External"/><Relationship Id="rId_hyperlink_224" Type="http://schemas.openxmlformats.org/officeDocument/2006/relationships/hyperlink" Target="https://www.lavrpack.ru/catalog/?product=5f8f6b8a-a5a3-11ef-ab3b-22344d083d2c%23cefc30c1-a5a3-11ef-ab3b-22344d083d2c" TargetMode="External"/><Relationship Id="rId_hyperlink_225" Type="http://schemas.openxmlformats.org/officeDocument/2006/relationships/hyperlink" Target="https://www.lavrpack.ru/catalog/?product=c05e030f-a5a4-11ef-ab3b-22344d083d2c%23e2d83dee-a5a4-11ef-ab3b-22344d083d2c" TargetMode="External"/><Relationship Id="rId_hyperlink_226" Type="http://schemas.openxmlformats.org/officeDocument/2006/relationships/hyperlink" Target="https://www.lavrpack.ru/catalog/?product=c05e030f-a5a4-11ef-ab3b-22344d083d2c%23d66bd1d1-a5a4-11ef-ab3b-22344d083d2c" TargetMode="External"/><Relationship Id="rId_hyperlink_227" Type="http://schemas.openxmlformats.org/officeDocument/2006/relationships/hyperlink" Target="https://www.lavrpack.ru/catalog/?product=c05e030f-a5a4-11ef-ab3b-22344d083d2c%23cf9d58eb-a5a4-11ef-ab3b-22344d083d2c" TargetMode="External"/><Relationship Id="rId_hyperlink_228" Type="http://schemas.openxmlformats.org/officeDocument/2006/relationships/hyperlink" Target="https://www.lavrpack.ru/catalog/?product=c05e030f-a5a4-11ef-ab3b-22344d083d2c%23c7f3fd4b-a5a4-11ef-ab3b-22344d083d2c" TargetMode="External"/><Relationship Id="rId_hyperlink_229" Type="http://schemas.openxmlformats.org/officeDocument/2006/relationships/hyperlink" Target="https://www.lavrpack.ru/catalog/?product=c05e030f-a5a4-11ef-ab3b-22344d083d2c%23ed8c4a6f-a5a4-11ef-ab3b-22344d083d2c" TargetMode="External"/><Relationship Id="rId_hyperlink_230" Type="http://schemas.openxmlformats.org/officeDocument/2006/relationships/hyperlink" Target="https://www.lavrpack.ru/catalog/?product=bfbf4756-6c20-11ef-ab51-1cfd08767542%23c77c88a8-6c20-11ef-ab51-1cfd08767542" TargetMode="External"/><Relationship Id="rId_hyperlink_231" Type="http://schemas.openxmlformats.org/officeDocument/2006/relationships/hyperlink" Target="https://www.lavrpack.ru/catalog/?product=bfbf4756-6c20-11ef-ab51-1cfd08767542%23df2921fb-6c20-11ef-ab51-1cfd08767542" TargetMode="External"/><Relationship Id="rId_hyperlink_232" Type="http://schemas.openxmlformats.org/officeDocument/2006/relationships/hyperlink" Target="https://www.lavrpack.ru/catalog/?product=9b10a3c5-a70d-11ef-ab3b-22344d083d2c%23e11faf8d-a70d-11ef-ab3b-22344d083d2c" TargetMode="External"/><Relationship Id="rId_hyperlink_233" Type="http://schemas.openxmlformats.org/officeDocument/2006/relationships/hyperlink" Target="https://www.lavrpack.ru/catalog/?product=9b10a3c5-a70d-11ef-ab3b-22344d083d2c%23fd254f91-a70d-11ef-ab3b-22344d083d2c" TargetMode="External"/><Relationship Id="rId_hyperlink_234" Type="http://schemas.openxmlformats.org/officeDocument/2006/relationships/hyperlink" Target="https://www.lavrpack.ru/catalog/?product=9b10a3c5-a70d-11ef-ab3b-22344d083d2c%23f4e30ae2-a70d-11ef-ab3b-22344d083d2c" TargetMode="External"/><Relationship Id="rId_hyperlink_235" Type="http://schemas.openxmlformats.org/officeDocument/2006/relationships/hyperlink" Target="https://www.lavrpack.ru/catalog/?product=9b10a3c5-a70d-11ef-ab3b-22344d083d2c%23daca546f-a70d-11ef-ab3b-22344d083d2c" TargetMode="External"/><Relationship Id="rId_hyperlink_236" Type="http://schemas.openxmlformats.org/officeDocument/2006/relationships/hyperlink" Target="https://www.lavrpack.ru/catalog/?product=9b10a3c5-a70d-11ef-ab3b-22344d083d2c%231234912a-a70e-11ef-ab3b-22344d083d2c" TargetMode="External"/><Relationship Id="rId_hyperlink_237" Type="http://schemas.openxmlformats.org/officeDocument/2006/relationships/hyperlink" Target="https://www.lavrpack.ru/catalog/?product=9b10a3c5-a70d-11ef-ab3b-22344d083d2c%23ed520c3c-a70d-11ef-ab3b-22344d083d2c" TargetMode="External"/><Relationship Id="rId_hyperlink_238" Type="http://schemas.openxmlformats.org/officeDocument/2006/relationships/hyperlink" Target="https://www.lavrpack.ru/catalog/?product=b379d602-b7db-11f1-ab51-22344d083d2c%23b379d74a-b7db-11f1-ab51-22344d083d2c" TargetMode="External"/><Relationship Id="rId_hyperlink_239" Type="http://schemas.openxmlformats.org/officeDocument/2006/relationships/hyperlink" Target="https://www.lavrpack.ru/catalog/?product=b379d602-b7db-11f1-ab51-22344d083d2c%23b379d701-b7db-11f1-ab51-22344d083d2c" TargetMode="External"/><Relationship Id="rId_hyperlink_240" Type="http://schemas.openxmlformats.org/officeDocument/2006/relationships/hyperlink" Target="https://www.lavrpack.ru/catalog/?product=b379d602-b7db-11f1-ab51-22344d083d2c%23b379d793-b7db-11f1-ab51-22344d083d2c" TargetMode="External"/><Relationship Id="rId_hyperlink_241" Type="http://schemas.openxmlformats.org/officeDocument/2006/relationships/hyperlink" Target="https://www.lavrpack.ru/catalog/?product=b379d602-b7db-11f1-ab51-22344d083d2c%23b379d66f-b7db-11f1-ab51-22344d083d2c" TargetMode="External"/><Relationship Id="rId_hyperlink_242" Type="http://schemas.openxmlformats.org/officeDocument/2006/relationships/hyperlink" Target="https://www.lavrpack.ru/catalog/?product=b379d602-b7db-11f1-ab51-22344d083d2c%23b379d6b8-b7db-11f1-ab51-22344d083d2c" TargetMode="External"/><Relationship Id="rId_hyperlink_243" Type="http://schemas.openxmlformats.org/officeDocument/2006/relationships/hyperlink" Target="https://www.lavrpack.ru/catalog/?product=b379d602-b7db-11f1-ab51-22344d083d2c%23b379d825-b7db-11f1-ab51-22344d083d2c" TargetMode="External"/><Relationship Id="rId_hyperlink_244" Type="http://schemas.openxmlformats.org/officeDocument/2006/relationships/hyperlink" Target="https://www.lavrpack.ru/catalog/?product=b379d602-b7db-11f1-ab51-22344d083d2c%23b379d7dc-b7db-11f1-ab51-22344d083d2c" TargetMode="External"/><Relationship Id="rId_hyperlink_245" Type="http://schemas.openxmlformats.org/officeDocument/2006/relationships/hyperlink" Target="https://www.lavrpack.ru/catalog/?product=cae1f795-a642-11ef-ab3b-22344d083d2c%23ed2b4bd3-a642-11ef-ab3b-22344d083d2c" TargetMode="External"/><Relationship Id="rId_hyperlink_246" Type="http://schemas.openxmlformats.org/officeDocument/2006/relationships/hyperlink" Target="https://www.lavrpack.ru/catalog/?product=cae1f795-a642-11ef-ab3b-22344d083d2c%2303739a11-a643-11ef-ab3b-22344d083d2c" TargetMode="External"/><Relationship Id="rId_hyperlink_247" Type="http://schemas.openxmlformats.org/officeDocument/2006/relationships/hyperlink" Target="https://www.lavrpack.ru/catalog/?product=cae1f795-a642-11ef-ab3b-22344d083d2c%23d8024555-a642-11ef-ab3b-22344d083d2c" TargetMode="External"/><Relationship Id="rId_hyperlink_248" Type="http://schemas.openxmlformats.org/officeDocument/2006/relationships/hyperlink" Target="https://www.lavrpack.ru/catalog/?product=cae1f795-a642-11ef-ab3b-22344d083d2c%23e71783de-a642-11ef-ab3b-22344d083d2c" TargetMode="External"/><Relationship Id="rId_hyperlink_249" Type="http://schemas.openxmlformats.org/officeDocument/2006/relationships/hyperlink" Target="https://www.lavrpack.ru/catalog/?product=cae1f795-a642-11ef-ab3b-22344d083d2c%23e1006672-a642-11ef-ab3b-22344d083d2c" TargetMode="External"/><Relationship Id="rId_hyperlink_250" Type="http://schemas.openxmlformats.org/officeDocument/2006/relationships/hyperlink" Target="https://www.lavrpack.ru/catalog/?product=cae1f795-a642-11ef-ab3b-22344d083d2c%23f88f2329-a642-11ef-ab3b-22344d083d2c" TargetMode="External"/><Relationship Id="rId_hyperlink_251" Type="http://schemas.openxmlformats.org/officeDocument/2006/relationships/hyperlink" Target="https://www.lavrpack.ru/catalog/?product=cae1f795-a642-11ef-ab3b-22344d083d2c%2317968c33-a645-11ef-ab3b-22344d083d2c" TargetMode="External"/><Relationship Id="rId_hyperlink_252" Type="http://schemas.openxmlformats.org/officeDocument/2006/relationships/hyperlink" Target="https://www.lavrpack.ru/catalog/?product=00a8032a-a648-11ef-ab3b-22344d083d2c%23273a1e00-a648-11ef-ab3b-22344d083d2c" TargetMode="External"/><Relationship Id="rId_hyperlink_253" Type="http://schemas.openxmlformats.org/officeDocument/2006/relationships/hyperlink" Target="https://www.lavrpack.ru/catalog/?product=00a8032a-a648-11ef-ab3b-22344d083d2c%23207c8969-a648-11ef-ab3b-22344d083d2c" TargetMode="External"/><Relationship Id="rId_hyperlink_254" Type="http://schemas.openxmlformats.org/officeDocument/2006/relationships/hyperlink" Target="https://www.lavrpack.ru/catalog/?product=00a8032a-a648-11ef-ab3b-22344d083d2c%23459e5f27-a648-11ef-ab3b-22344d083d2c" TargetMode="External"/><Relationship Id="rId_hyperlink_255" Type="http://schemas.openxmlformats.org/officeDocument/2006/relationships/hyperlink" Target="https://www.lavrpack.ru/catalog/?product=00a8032a-a648-11ef-ab3b-22344d083d2c%2309271bc9-a648-11ef-ab3b-22344d083d2c" TargetMode="External"/><Relationship Id="rId_hyperlink_256" Type="http://schemas.openxmlformats.org/officeDocument/2006/relationships/hyperlink" Target="https://www.lavrpack.ru/catalog/?product=00a8032a-a648-11ef-ab3b-22344d083d2c%23327e8647-a648-11ef-ab3b-22344d083d2c" TargetMode="External"/><Relationship Id="rId_hyperlink_257" Type="http://schemas.openxmlformats.org/officeDocument/2006/relationships/hyperlink" Target="https://www.lavrpack.ru/catalog/?product=3658d17c-a70f-11ef-ab3b-22344d083d2c%239b65463b-a70f-11ef-ab3b-22344d083d2c" TargetMode="External"/><Relationship Id="rId_hyperlink_258" Type="http://schemas.openxmlformats.org/officeDocument/2006/relationships/hyperlink" Target="https://www.lavrpack.ru/catalog/?product=3658d17c-a70f-11ef-ab3b-22344d083d2c%234a005179-a70f-11ef-ab3b-22344d083d2c" TargetMode="External"/><Relationship Id="rId_hyperlink_259" Type="http://schemas.openxmlformats.org/officeDocument/2006/relationships/hyperlink" Target="https://www.lavrpack.ru/catalog/?product=3658d17c-a70f-11ef-ab3b-22344d083d2c%236df27bef-a70f-11ef-ab3b-22344d083d2c" TargetMode="External"/><Relationship Id="rId_hyperlink_260" Type="http://schemas.openxmlformats.org/officeDocument/2006/relationships/hyperlink" Target="https://www.lavrpack.ru/catalog/?product=3658d17c-a70f-11ef-ab3b-22344d083d2c%237ff512c4-a70f-11ef-ab3b-22344d083d2c" TargetMode="External"/><Relationship Id="rId_hyperlink_261" Type="http://schemas.openxmlformats.org/officeDocument/2006/relationships/hyperlink" Target="https://www.lavrpack.ru/catalog/?product=3658d17c-a70f-11ef-ab3b-22344d083d2c%23750bbfbb-a70f-11ef-ab3b-22344d083d2c" TargetMode="External"/><Relationship Id="rId_hyperlink_262" Type="http://schemas.openxmlformats.org/officeDocument/2006/relationships/hyperlink" Target="https://www.lavrpack.ru/catalog/?product=5c0f0b9b-a710-11ef-ab3b-22344d083d2c%23851d0da0-a710-11ef-ab3b-22344d083d2c" TargetMode="External"/><Relationship Id="rId_hyperlink_263" Type="http://schemas.openxmlformats.org/officeDocument/2006/relationships/hyperlink" Target="https://www.lavrpack.ru/catalog/?product=5c0f0b9b-a710-11ef-ab3b-22344d083d2c%238d210924-a710-11ef-ab3b-22344d083d2c" TargetMode="External"/><Relationship Id="rId_hyperlink_264" Type="http://schemas.openxmlformats.org/officeDocument/2006/relationships/hyperlink" Target="https://www.lavrpack.ru/catalog/?product=5c0f0b9b-a710-11ef-ab3b-22344d083d2c%2370a8394c-a710-11ef-ab3b-22344d083d2c" TargetMode="External"/><Relationship Id="rId_hyperlink_265" Type="http://schemas.openxmlformats.org/officeDocument/2006/relationships/hyperlink" Target="https://www.lavrpack.ru/catalog/?product=5c0f0b9b-a710-11ef-ab3b-22344d083d2c%237d1d0455-a710-11ef-ab3b-22344d083d2c" TargetMode="External"/><Relationship Id="rId_hyperlink_266" Type="http://schemas.openxmlformats.org/officeDocument/2006/relationships/hyperlink" Target="https://www.lavrpack.ru/catalog/?product=5c0f0b9b-a710-11ef-ab3b-22344d083d2c%23a2ce4d4f-a710-11ef-ab3b-22344d083d2c" TargetMode="External"/><Relationship Id="rId_hyperlink_267" Type="http://schemas.openxmlformats.org/officeDocument/2006/relationships/hyperlink" Target="https://www.lavrpack.ru/catalog/?product=58697505-a711-11ef-ab3b-22344d083d2c%2388bd5f0f-a711-11ef-ab3b-22344d083d2c" TargetMode="External"/><Relationship Id="rId_hyperlink_268" Type="http://schemas.openxmlformats.org/officeDocument/2006/relationships/hyperlink" Target="https://www.lavrpack.ru/catalog/?product=58697505-a711-11ef-ab3b-22344d083d2c%2381c532f9-a711-11ef-ab3b-22344d083d2c" TargetMode="External"/><Relationship Id="rId_hyperlink_269" Type="http://schemas.openxmlformats.org/officeDocument/2006/relationships/hyperlink" Target="https://www.lavrpack.ru/catalog/?product=58697505-a711-11ef-ab3b-22344d083d2c%23721dec4a-a711-11ef-ab3b-22344d083d2c" TargetMode="External"/><Relationship Id="rId_hyperlink_270" Type="http://schemas.openxmlformats.org/officeDocument/2006/relationships/hyperlink" Target="https://www.lavrpack.ru/catalog/?product=58697505-a711-11ef-ab3b-22344d083d2c%237a6334a0-a711-11ef-ab3b-22344d083d2c" TargetMode="External"/><Relationship Id="rId_hyperlink_271" Type="http://schemas.openxmlformats.org/officeDocument/2006/relationships/hyperlink" Target="https://www.lavrpack.ru/catalog/?product=58697505-a711-11ef-ab3b-22344d083d2c%23960e5a43-a711-11ef-ab3b-22344d083d2c" TargetMode="External"/><Relationship Id="rId_hyperlink_272" Type="http://schemas.openxmlformats.org/officeDocument/2006/relationships/hyperlink" Target="https://www.lavrpack.ru/catalog/?product=58697505-a711-11ef-ab3b-22344d083d2c%236a5519d2-a711-11ef-ab3b-22344d083d2c" TargetMode="External"/><Relationship Id="rId_hyperlink_273" Type="http://schemas.openxmlformats.org/officeDocument/2006/relationships/hyperlink" Target="https://www.lavrpack.ru/catalog/?product=58697505-a711-11ef-ab3b-22344d083d2c%238f522f15-a711-11ef-ab3b-22344d083d2c" TargetMode="External"/><Relationship Id="rId_hyperlink_274" Type="http://schemas.openxmlformats.org/officeDocument/2006/relationships/hyperlink" Target="https://www.lavrpack.ru/catalog/?product=7b8fbae7-a5a9-11ef-ab3b-22344d083d2c%23a4fe90eb-a5a9-11ef-ab3b-22344d083d2c" TargetMode="External"/><Relationship Id="rId_hyperlink_275" Type="http://schemas.openxmlformats.org/officeDocument/2006/relationships/hyperlink" Target="https://www.lavrpack.ru/catalog/?product=7b8fbae7-a5a9-11ef-ab3b-22344d083d2c%23b1d6e727-a5a9-11ef-ab3b-22344d083d2c" TargetMode="External"/><Relationship Id="rId_hyperlink_276" Type="http://schemas.openxmlformats.org/officeDocument/2006/relationships/hyperlink" Target="https://www.lavrpack.ru/catalog/?product=7b8fbae7-a5a9-11ef-ab3b-22344d083d2c%23befd11f3-a5a9-11ef-ab3b-22344d083d2c" TargetMode="External"/><Relationship Id="rId_hyperlink_277" Type="http://schemas.openxmlformats.org/officeDocument/2006/relationships/hyperlink" Target="https://www.lavrpack.ru/catalog/?product=7b8fbae7-a5a9-11ef-ab3b-22344d083d2c%23ab887aca-a5a9-11ef-ab3b-22344d083d2c" TargetMode="External"/><Relationship Id="rId_hyperlink_278" Type="http://schemas.openxmlformats.org/officeDocument/2006/relationships/hyperlink" Target="https://www.lavrpack.ru/catalog/?product=890b6d51-a5aa-11ef-ab3b-22344d083d2c%23b2fa19a2-a5aa-11ef-ab3b-22344d083d2c" TargetMode="External"/><Relationship Id="rId_hyperlink_279" Type="http://schemas.openxmlformats.org/officeDocument/2006/relationships/hyperlink" Target="https://www.lavrpack.ru/catalog/?product=ef5eedd5-a5a5-11ef-ab3b-22344d083d2c%2328526a47-a5a6-11ef-ab3b-22344d083d2c" TargetMode="External"/><Relationship Id="rId_hyperlink_280" Type="http://schemas.openxmlformats.org/officeDocument/2006/relationships/hyperlink" Target="https://www.lavrpack.ru/catalog/?product=ef5eedd5-a5a5-11ef-ab3b-22344d083d2c%233672ad4a-a5a6-11ef-ab3b-22344d083d2c" TargetMode="External"/><Relationship Id="rId_hyperlink_281" Type="http://schemas.openxmlformats.org/officeDocument/2006/relationships/hyperlink" Target="https://www.lavrpack.ru/catalog/?product=ef5eedd5-a5a5-11ef-ab3b-22344d083d2c%2342d413da-a5a6-11ef-ab3b-22344d083d2c" TargetMode="External"/><Relationship Id="rId_hyperlink_282" Type="http://schemas.openxmlformats.org/officeDocument/2006/relationships/hyperlink" Target="https://www.lavrpack.ru/catalog/?product=491b9829-5a69-11f1-ab50-22344d083d2c%2356bf450b-5a69-11f1-ab50-22344d083d2c" TargetMode="External"/><Relationship Id="rId_hyperlink_283" Type="http://schemas.openxmlformats.org/officeDocument/2006/relationships/hyperlink" Target="https://www.lavrpack.ru/catalog/?product=491b9829-5a69-11f1-ab50-22344d083d2c%23ca3ab4ae-b7da-11f1-ab51-22344d083d2c" TargetMode="External"/><Relationship Id="rId_hyperlink_284" Type="http://schemas.openxmlformats.org/officeDocument/2006/relationships/hyperlink" Target="https://www.lavrpack.ru/catalog/?product=491b9829-5a69-11f1-ab50-22344d083d2c%235cd027ca-5a69-11f1-ab50-22344d083d2c" TargetMode="External"/><Relationship Id="rId_hyperlink_285" Type="http://schemas.openxmlformats.org/officeDocument/2006/relationships/hyperlink" Target="https://www.lavrpack.ru/catalog/?product=5bbe35b0-5a68-11f1-ab50-22344d083d2c%237c9b00e1-5a68-11f1-ab50-22344d083d2c" TargetMode="External"/><Relationship Id="rId_hyperlink_286" Type="http://schemas.openxmlformats.org/officeDocument/2006/relationships/hyperlink" Target="https://www.lavrpack.ru/catalog/?product=5bbe35b0-5a68-11f1-ab50-22344d083d2c%2368fa6de8-5a68-11f1-ab50-22344d083d2c" TargetMode="External"/><Relationship Id="rId_hyperlink_287" Type="http://schemas.openxmlformats.org/officeDocument/2006/relationships/hyperlink" Target="https://www.lavrpack.ru/catalog/?product=3b62b145-a72e-11ef-ab3b-22344d083d2c%23484e0a50-a72e-11ef-ab3b-22344d083d2c" TargetMode="External"/><Relationship Id="rId_hyperlink_288" Type="http://schemas.openxmlformats.org/officeDocument/2006/relationships/hyperlink" Target="https://www.lavrpack.ru/catalog/?product=3b62b145-a72e-11ef-ab3b-22344d083d2c%23ae85ab50-5a69-11f1-ab50-22344d083d2c" TargetMode="External"/><Relationship Id="rId_hyperlink_289" Type="http://schemas.openxmlformats.org/officeDocument/2006/relationships/hyperlink" Target="https://www.lavrpack.ru/catalog/?product=3b62b145-a72e-11ef-ab3b-22344d083d2c%235ee998e9-a72e-11ef-ab3b-22344d083d2c" TargetMode="External"/><Relationship Id="rId_hyperlink_290" Type="http://schemas.openxmlformats.org/officeDocument/2006/relationships/hyperlink" Target="https://www.lavrpack.ru/catalog/?product=be65f8c6-6c21-11ef-ab51-1cfd08767542%23cb4e70ae-6c21-11ef-ab51-1cfd08767542" TargetMode="External"/><Relationship Id="rId_hyperlink_291" Type="http://schemas.openxmlformats.org/officeDocument/2006/relationships/hyperlink" Target="https://www.lavrpack.ru/catalog/?product=be65f8c6-6c21-11ef-ab51-1cfd08767542%23c4a8214c-6c21-11ef-ab51-1cfd08767542" TargetMode="External"/><Relationship Id="rId_hyperlink_292" Type="http://schemas.openxmlformats.org/officeDocument/2006/relationships/hyperlink" Target="https://www.lavrpack.ru/catalog/?product=be65f8c6-6c21-11ef-ab51-1cfd08767542%23c4a82192-6c21-11ef-ab51-1cfd08767542" TargetMode="External"/><Relationship Id="rId_hyperlink_293" Type="http://schemas.openxmlformats.org/officeDocument/2006/relationships/hyperlink" Target="https://www.lavrpack.ru/catalog/?product=5d7f303e-6c22-11ef-ab51-1cfd08767542%2375f1ac85-6c22-11ef-ab51-1cfd08767542" TargetMode="External"/><Relationship Id="rId_hyperlink_294" Type="http://schemas.openxmlformats.org/officeDocument/2006/relationships/hyperlink" Target="https://www.lavrpack.ru/catalog/?product=5d7f303e-6c22-11ef-ab51-1cfd08767542%236b2fefc7-6c22-11ef-ab51-1cfd08767542" TargetMode="External"/><Relationship Id="rId_hyperlink_295" Type="http://schemas.openxmlformats.org/officeDocument/2006/relationships/hyperlink" Target="https://www.lavrpack.ru/catalog/?product=5d7f303e-6c22-11ef-ab51-1cfd08767542%2375f1ac95-6c22-11ef-ab51-1cfd08767542" TargetMode="External"/><Relationship Id="rId_hyperlink_296" Type="http://schemas.openxmlformats.org/officeDocument/2006/relationships/hyperlink" Target="https://www.lavrpack.ru/catalog/?product=5d7f303e-6c22-11ef-ab51-1cfd08767542%23649cb4af-6c22-11ef-ab51-1cfd08767542" TargetMode="External"/><Relationship Id="rId_hyperlink_297" Type="http://schemas.openxmlformats.org/officeDocument/2006/relationships/hyperlink" Target="https://www.lavrpack.ru/catalog/?product=2003ba25-1459-11f0-ab40-22344d083d2c%23862d5b57-5a6a-11f1-ab50-22344d083d2c" TargetMode="External"/><Relationship Id="rId_hyperlink_298" Type="http://schemas.openxmlformats.org/officeDocument/2006/relationships/hyperlink" Target="https://www.lavrpack.ru/catalog/?product=2003ba25-1459-11f0-ab40-22344d083d2c%2336a9cf5e-1459-11f0-ab40-22344d083d2c" TargetMode="External"/><Relationship Id="rId_hyperlink_299" Type="http://schemas.openxmlformats.org/officeDocument/2006/relationships/hyperlink" Target="https://www.lavrpack.ru/catalog/?product=2003ba25-1459-11f0-ab40-22344d083d2c%233fbe80b0-1459-11f0-ab40-22344d083d2c" TargetMode="External"/><Relationship Id="rId_hyperlink_300" Type="http://schemas.openxmlformats.org/officeDocument/2006/relationships/hyperlink" Target="https://www.lavrpack.ru/catalog/?product=2003ba25-1459-11f0-ab40-22344d083d2c%234ffae8ef-1459-11f0-ab40-22344d083d2c" TargetMode="External"/><Relationship Id="rId_hyperlink_301" Type="http://schemas.openxmlformats.org/officeDocument/2006/relationships/hyperlink" Target="https://www.lavrpack.ru/catalog/?product=2003ba25-1459-11f0-ab40-22344d083d2c%23495af735-1459-11f0-ab40-22344d083d2c" TargetMode="External"/><Relationship Id="rId_hyperlink_302" Type="http://schemas.openxmlformats.org/officeDocument/2006/relationships/hyperlink" Target="https://www.lavrpack.ru/catalog/?product=2003ba25-1459-11f0-ab40-22344d083d2c%2356a817a9-1459-11f0-ab40-22344d083d2c" TargetMode="External"/><Relationship Id="rId_hyperlink_303" Type="http://schemas.openxmlformats.org/officeDocument/2006/relationships/hyperlink" Target="https://www.lavrpack.ru/catalog/?product=c503d9b1-a63f-11ef-ab3b-22344d083d2c%23f6ea441d-de23-11ef-ab3c-22344d083d2c" TargetMode="External"/><Relationship Id="rId_hyperlink_304" Type="http://schemas.openxmlformats.org/officeDocument/2006/relationships/hyperlink" Target="https://www.lavrpack.ru/catalog/?product=c503d9b1-a63f-11ef-ab3b-22344d083d2c%23da50a351-a63f-11ef-ab3b-22344d083d2c" TargetMode="External"/><Relationship Id="rId_hyperlink_305" Type="http://schemas.openxmlformats.org/officeDocument/2006/relationships/hyperlink" Target="https://www.lavrpack.ru/catalog/?product=c503d9b1-a63f-11ef-ab3b-22344d083d2c%23f08effae-a63f-11ef-ab3b-22344d083d2c" TargetMode="External"/><Relationship Id="rId_hyperlink_306" Type="http://schemas.openxmlformats.org/officeDocument/2006/relationships/hyperlink" Target="https://www.lavrpack.ru/catalog/?product=c503d9b1-a63f-11ef-ab3b-22344d083d2c%23c7563b28-de23-11ef-ab3c-22344d083d2c" TargetMode="External"/><Relationship Id="rId_hyperlink_307" Type="http://schemas.openxmlformats.org/officeDocument/2006/relationships/hyperlink" Target="https://www.lavrpack.ru/catalog/?product=c503d9b1-a63f-11ef-ab3b-22344d083d2c%23f7675bc4-a63f-11ef-ab3b-22344d083d2c" TargetMode="External"/><Relationship Id="rId_hyperlink_308" Type="http://schemas.openxmlformats.org/officeDocument/2006/relationships/hyperlink" Target="https://www.lavrpack.ru/catalog/?product=c503d9b1-a63f-11ef-ab3b-22344d083d2c%23631c8f6e-de23-11ef-ab3c-22344d083d2c" TargetMode="External"/><Relationship Id="rId_hyperlink_309" Type="http://schemas.openxmlformats.org/officeDocument/2006/relationships/hyperlink" Target="https://www.lavrpack.ru/catalog/?product=c503d9b1-a63f-11ef-ab3b-22344d083d2c%234ead77ae-de23-11ef-ab3c-22344d083d2c" TargetMode="External"/><Relationship Id="rId_hyperlink_310" Type="http://schemas.openxmlformats.org/officeDocument/2006/relationships/hyperlink" Target="https://www.lavrpack.ru/catalog/?product=c503d9b1-a63f-11ef-ab3b-22344d083d2c%23056f54ea-de24-11ef-ab3c-22344d083d2c" TargetMode="External"/><Relationship Id="rId_hyperlink_311" Type="http://schemas.openxmlformats.org/officeDocument/2006/relationships/hyperlink" Target="https://www.lavrpack.ru/catalog/?product=c503d9b1-a63f-11ef-ab3b-22344d083d2c%23bf8ff485-3641-11f0-ab41-22344d083d2c" TargetMode="External"/><Relationship Id="rId_hyperlink_312" Type="http://schemas.openxmlformats.org/officeDocument/2006/relationships/hyperlink" Target="https://www.lavrpack.ru/catalog/?product=c503d9b1-a63f-11ef-ab3b-22344d083d2c%23d2e53ff2-a63f-11ef-ab3b-22344d083d2c" TargetMode="External"/><Relationship Id="rId_hyperlink_313" Type="http://schemas.openxmlformats.org/officeDocument/2006/relationships/hyperlink" Target="https://www.lavrpack.ru/catalog/?product=c503d9b1-a63f-11ef-ab3b-22344d083d2c%23e74b7187-a63f-11ef-ab3b-22344d083d2c" TargetMode="External"/><Relationship Id="rId_hyperlink_314" Type="http://schemas.openxmlformats.org/officeDocument/2006/relationships/hyperlink" Target="https://www.lavrpack.ru/catalog/?product=d16f8c5f-de0a-11ef-ab3c-22344d083d2c%235a629031-de0b-11ef-ab3c-22344d083d2c" TargetMode="External"/><Relationship Id="rId_hyperlink_315" Type="http://schemas.openxmlformats.org/officeDocument/2006/relationships/hyperlink" Target="https://www.lavrpack.ru/catalog/?product=d16f8c5f-de0a-11ef-ab3c-22344d083d2c%2302bb3698-de0b-11ef-ab3c-22344d083d2c" TargetMode="External"/><Relationship Id="rId_hyperlink_316" Type="http://schemas.openxmlformats.org/officeDocument/2006/relationships/hyperlink" Target="https://www.lavrpack.ru/catalog/?product=d16f8c5f-de0a-11ef-ab3c-22344d083d2c%2368136744-de0b-11ef-ab3c-22344d083d2c" TargetMode="External"/><Relationship Id="rId_hyperlink_317" Type="http://schemas.openxmlformats.org/officeDocument/2006/relationships/hyperlink" Target="https://www.lavrpack.ru/catalog/?product=d16f8c5f-de0a-11ef-ab3c-22344d083d2c%233bddf504-de0b-11ef-ab3c-22344d083d2c" TargetMode="External"/><Relationship Id="rId_hyperlink_318" Type="http://schemas.openxmlformats.org/officeDocument/2006/relationships/hyperlink" Target="https://www.lavrpack.ru/catalog/?product=d16f8c5f-de0a-11ef-ab3c-22344d083d2c%23ed588a6d-de0a-11ef-ab3c-22344d083d2c" TargetMode="External"/><Relationship Id="rId_hyperlink_319" Type="http://schemas.openxmlformats.org/officeDocument/2006/relationships/hyperlink" Target="https://www.lavrpack.ru/catalog/?product=d16f8c5f-de0a-11ef-ab3c-22344d083d2c%23dfe3602e-de0a-11ef-ab3c-22344d083d2c" TargetMode="External"/><Relationship Id="rId_hyperlink_320" Type="http://schemas.openxmlformats.org/officeDocument/2006/relationships/hyperlink" Target="https://www.lavrpack.ru/catalog/?product=cd1b9e82-de0c-11ef-ab3c-22344d083d2c%23d97dcac1-de0c-11ef-ab3c-22344d083d2c" TargetMode="External"/><Relationship Id="rId_hyperlink_321" Type="http://schemas.openxmlformats.org/officeDocument/2006/relationships/hyperlink" Target="https://www.lavrpack.ru/catalog/?product=cd1b9e82-de0c-11ef-ab3c-22344d083d2c%230d31bcd0-de0d-11ef-ab3c-22344d083d2c" TargetMode="External"/><Relationship Id="rId_hyperlink_322" Type="http://schemas.openxmlformats.org/officeDocument/2006/relationships/hyperlink" Target="https://www.lavrpack.ru/catalog/?product=cd1b9e82-de0c-11ef-ab3c-22344d083d2c%23e8f75ee7-de0c-11ef-ab3c-22344d083d2c" TargetMode="External"/><Relationship Id="rId_hyperlink_323" Type="http://schemas.openxmlformats.org/officeDocument/2006/relationships/hyperlink" Target="https://www.lavrpack.ru/catalog/?product=cd1b9e82-de0c-11ef-ab3c-22344d083d2c%23e00100af-de0c-11ef-ab3c-22344d083d2c" TargetMode="External"/><Relationship Id="rId_hyperlink_324" Type="http://schemas.openxmlformats.org/officeDocument/2006/relationships/hyperlink" Target="https://www.lavrpack.ru/catalog/?product=cd1b9e82-de0c-11ef-ab3c-22344d083d2c%2306b919a4-de0d-11ef-ab3c-22344d083d2c" TargetMode="External"/><Relationship Id="rId_hyperlink_325" Type="http://schemas.openxmlformats.org/officeDocument/2006/relationships/hyperlink" Target="https://www.lavrpack.ru/catalog/?product=cd1b9e82-de0c-11ef-ab3c-22344d083d2c%231b9debc3-de0d-11ef-ab3c-22344d083d2c" TargetMode="External"/><Relationship Id="rId_hyperlink_326" Type="http://schemas.openxmlformats.org/officeDocument/2006/relationships/hyperlink" Target="https://www.lavrpack.ru/catalog/?product=ed1f2514-de0f-11ef-ab3c-22344d083d2c%231b43982c-de10-11ef-ab3c-22344d083d2c" TargetMode="External"/><Relationship Id="rId_hyperlink_327" Type="http://schemas.openxmlformats.org/officeDocument/2006/relationships/hyperlink" Target="https://www.lavrpack.ru/catalog/?product=ed1f2514-de0f-11ef-ab3c-22344d083d2c%2300db6123-de10-11ef-ab3c-22344d083d2c" TargetMode="External"/><Relationship Id="rId_hyperlink_328" Type="http://schemas.openxmlformats.org/officeDocument/2006/relationships/hyperlink" Target="https://www.lavrpack.ru/catalog/?product=ed1f2514-de0f-11ef-ab3c-22344d083d2c%2314627ab1-de10-11ef-ab3c-22344d083d2c" TargetMode="External"/><Relationship Id="rId_hyperlink_329" Type="http://schemas.openxmlformats.org/officeDocument/2006/relationships/hyperlink" Target="https://www.lavrpack.ru/catalog/?product=ed1f2514-de0f-11ef-ab3c-22344d083d2c%23fa2b8897-de0f-11ef-ab3c-22344d083d2c" TargetMode="External"/><Relationship Id="rId_hyperlink_330" Type="http://schemas.openxmlformats.org/officeDocument/2006/relationships/hyperlink" Target="https://www.lavrpack.ru/catalog/?product=ed1f2514-de0f-11ef-ab3c-22344d083d2c%23d957a58c-284b-11f1-ab50-22344d083d2c" TargetMode="External"/><Relationship Id="rId_hyperlink_331" Type="http://schemas.openxmlformats.org/officeDocument/2006/relationships/hyperlink" Target="https://www.lavrpack.ru/catalog/?product=ed1f2514-de0f-11ef-ab3c-22344d083d2c%2306ed839d-de10-11ef-ab3c-22344d083d2c" TargetMode="External"/><Relationship Id="rId_hyperlink_332" Type="http://schemas.openxmlformats.org/officeDocument/2006/relationships/hyperlink" Target="https://www.lavrpack.ru/catalog/?product=ed1f2514-de0f-11ef-ab3c-22344d083d2c%232245f139-de10-11ef-ab3c-22344d083d2c" TargetMode="External"/><Relationship Id="rId_hyperlink_333" Type="http://schemas.openxmlformats.org/officeDocument/2006/relationships/hyperlink" Target="https://www.lavrpack.ru/catalog/?product=14c876e1-145c-11f0-ab40-22344d083d2c%23d2978240-686d-11f0-ab47-22344d083d2c" TargetMode="External"/><Relationship Id="rId_hyperlink_334" Type="http://schemas.openxmlformats.org/officeDocument/2006/relationships/hyperlink" Target="https://www.lavrpack.ru/catalog/?product=14c876e1-145c-11f0-ab40-22344d083d2c%2323b5396e-284c-11f1-ab50-22344d083d2c" TargetMode="External"/><Relationship Id="rId_hyperlink_335" Type="http://schemas.openxmlformats.org/officeDocument/2006/relationships/hyperlink" Target="https://www.lavrpack.ru/catalog/?product=14c876e1-145c-11f0-ab40-22344d083d2c%2327ee583d-145c-11f0-ab40-22344d083d2c" TargetMode="External"/><Relationship Id="rId_hyperlink_336" Type="http://schemas.openxmlformats.org/officeDocument/2006/relationships/hyperlink" Target="https://www.lavrpack.ru/catalog/?product=14c876e1-145c-11f0-ab40-22344d083d2c%231b81edcd-145e-11f0-ab40-22344d083d2c" TargetMode="External"/><Relationship Id="rId_hyperlink_337" Type="http://schemas.openxmlformats.org/officeDocument/2006/relationships/hyperlink" Target="https://www.lavrpack.ru/catalog/?product=aedc217c-145d-11f0-ab40-22344d083d2c%23a9bf01b9-363d-11f0-ab41-22344d083d2c" TargetMode="External"/><Relationship Id="rId_hyperlink_338" Type="http://schemas.openxmlformats.org/officeDocument/2006/relationships/hyperlink" Target="https://www.lavrpack.ru/catalog/?product=aedc217c-145d-11f0-ab40-22344d083d2c%23b53736ce-145d-11f0-ab40-22344d083d2c" TargetMode="External"/><Relationship Id="rId_hyperlink_339" Type="http://schemas.openxmlformats.org/officeDocument/2006/relationships/hyperlink" Target="https://www.lavrpack.ru/catalog/?product=aedc217c-145d-11f0-ab40-22344d083d2c%23d24ee688-145d-11f0-ab40-22344d083d2c" TargetMode="External"/><Relationship Id="rId_hyperlink_340" Type="http://schemas.openxmlformats.org/officeDocument/2006/relationships/hyperlink" Target="https://www.lavrpack.ru/catalog/?product=aedc217c-145d-11f0-ab40-22344d083d2c%2395c97fce-363d-11f0-ab41-22344d083d2c" TargetMode="External"/><Relationship Id="rId_hyperlink_341" Type="http://schemas.openxmlformats.org/officeDocument/2006/relationships/hyperlink" Target="https://www.lavrpack.ru/catalog/?product=aedc217c-145d-11f0-ab40-22344d083d2c%23f701e1aa-686d-11f0-ab47-22344d083d2c" TargetMode="External"/><Relationship Id="rId_hyperlink_342" Type="http://schemas.openxmlformats.org/officeDocument/2006/relationships/hyperlink" Target="https://www.lavrpack.ru/catalog/?product=cb604fd0-144a-11f0-ab40-22344d083d2c%23147a6775-144b-11f0-ab40-22344d083d2c" TargetMode="External"/><Relationship Id="rId_hyperlink_343" Type="http://schemas.openxmlformats.org/officeDocument/2006/relationships/hyperlink" Target="https://www.lavrpack.ru/catalog/?product=cb604fd0-144a-11f0-ab40-22344d083d2c%2305716eeb-144b-11f0-ab40-22344d083d2c" TargetMode="External"/><Relationship Id="rId_hyperlink_344" Type="http://schemas.openxmlformats.org/officeDocument/2006/relationships/hyperlink" Target="https://www.lavrpack.ru/catalog/?product=cb604fd0-144a-11f0-ab40-22344d083d2c%23f87e3696-144a-11f0-ab40-22344d083d2c" TargetMode="External"/><Relationship Id="rId_hyperlink_345" Type="http://schemas.openxmlformats.org/officeDocument/2006/relationships/hyperlink" Target="https://www.lavrpack.ru/catalog/?product=cb604fd0-144a-11f0-ab40-22344d083d2c%23f27ee6f8-144a-11f0-ab40-22344d083d2c" TargetMode="External"/><Relationship Id="rId_hyperlink_346" Type="http://schemas.openxmlformats.org/officeDocument/2006/relationships/hyperlink" Target="https://www.lavrpack.ru/catalog/?product=cb604fd0-144a-11f0-ab40-22344d083d2c%230e435546-144b-11f0-ab40-22344d083d2c" TargetMode="External"/><Relationship Id="rId_hyperlink_347" Type="http://schemas.openxmlformats.org/officeDocument/2006/relationships/hyperlink" Target="https://www.lavrpack.ru/catalog/?product=cb604fd0-144a-11f0-ab40-22344d083d2c%23e02c7385-144a-11f0-ab40-22344d083d2c" TargetMode="External"/><Relationship Id="rId_hyperlink_348" Type="http://schemas.openxmlformats.org/officeDocument/2006/relationships/hyperlink" Target="https://www.lavrpack.ru/catalog/?product=cb604fd0-144a-11f0-ab40-22344d083d2c%23e63acf67-144a-11f0-ab40-22344d083d2c" TargetMode="External"/><Relationship Id="rId_hyperlink_349" Type="http://schemas.openxmlformats.org/officeDocument/2006/relationships/hyperlink" Target="https://www.lavrpack.ru/catalog/?product=b7f863da-144b-11f0-ab40-22344d083d2c%23cc32e2c6-144b-11f0-ab40-22344d083d2c" TargetMode="External"/><Relationship Id="rId_hyperlink_350" Type="http://schemas.openxmlformats.org/officeDocument/2006/relationships/hyperlink" Target="https://www.lavrpack.ru/catalog/?product=b7f863da-144b-11f0-ab40-22344d083d2c%23e645ee91-144b-11f0-ab40-22344d083d2c" TargetMode="External"/><Relationship Id="rId_hyperlink_351" Type="http://schemas.openxmlformats.org/officeDocument/2006/relationships/hyperlink" Target="https://www.lavrpack.ru/catalog/?product=b7f863da-144b-11f0-ab40-22344d083d2c%23c5bac81d-144b-11f0-ab40-22344d083d2c" TargetMode="External"/><Relationship Id="rId_hyperlink_352" Type="http://schemas.openxmlformats.org/officeDocument/2006/relationships/hyperlink" Target="https://www.lavrpack.ru/catalog/?product=b7f863da-144b-11f0-ab40-22344d083d2c%23f31a56b3-144b-11f0-ab40-22344d083d2c" TargetMode="External"/><Relationship Id="rId_hyperlink_353" Type="http://schemas.openxmlformats.org/officeDocument/2006/relationships/hyperlink" Target="https://www.lavrpack.ru/catalog/?product=b7f863da-144b-11f0-ab40-22344d083d2c%23f93d7610-144b-11f0-ab40-22344d083d2c" TargetMode="External"/><Relationship Id="rId_hyperlink_354" Type="http://schemas.openxmlformats.org/officeDocument/2006/relationships/hyperlink" Target="https://www.lavrpack.ru/catalog/?product=b7f863da-144b-11f0-ab40-22344d083d2c%23ed1122d6-144b-11f0-ab40-22344d083d2c" TargetMode="External"/><Relationship Id="rId_hyperlink_355" Type="http://schemas.openxmlformats.org/officeDocument/2006/relationships/hyperlink" Target="https://www.lavrpack.ru/catalog/?product=b7f863da-144b-11f0-ab40-22344d083d2c%23d238e1b3-144b-11f0-ab40-22344d083d2c" TargetMode="External"/><Relationship Id="rId_hyperlink_356" Type="http://schemas.openxmlformats.org/officeDocument/2006/relationships/hyperlink" Target="https://www.lavrpack.ru/catalog/?product=c538a3f9-6c15-11ef-ab51-1cfd08767542%23cbed3e29-6c15-11ef-ab51-1cfd08767542" TargetMode="External"/><Relationship Id="rId_hyperlink_357" Type="http://schemas.openxmlformats.org/officeDocument/2006/relationships/hyperlink" Target="https://www.lavrpack.ru/catalog/?product=c538a3f9-6c15-11ef-ab51-1cfd08767542%23ecf120e1-6c15-11ef-ab51-1cfd08767542" TargetMode="External"/><Relationship Id="rId_hyperlink_358" Type="http://schemas.openxmlformats.org/officeDocument/2006/relationships/hyperlink" Target="https://www.lavrpack.ru/catalog/?product=c538a3f9-6c15-11ef-ab51-1cfd08767542%23d970abf3-6c15-11ef-ab51-1cfd08767542" TargetMode="External"/><Relationship Id="rId_hyperlink_359" Type="http://schemas.openxmlformats.org/officeDocument/2006/relationships/hyperlink" Target="https://www.lavrpack.ru/catalog/?product=c538a3f9-6c15-11ef-ab51-1cfd08767542%23e003e648-6c15-11ef-ab51-1cfd08767542" TargetMode="External"/><Relationship Id="rId_hyperlink_360" Type="http://schemas.openxmlformats.org/officeDocument/2006/relationships/hyperlink" Target="https://www.lavrpack.ru/catalog/?product=c538a3f9-6c15-11ef-ab51-1cfd08767542%23c538a42d-6c15-11ef-ab51-1cfd08767542" TargetMode="External"/><Relationship Id="rId_hyperlink_361" Type="http://schemas.openxmlformats.org/officeDocument/2006/relationships/hyperlink" Target="https://www.lavrpack.ru/catalog/?product=c538a3f9-6c15-11ef-ab51-1cfd08767542%23d29d13c2-6c15-11ef-ab51-1cfd08767542" TargetMode="External"/><Relationship Id="rId_hyperlink_362" Type="http://schemas.openxmlformats.org/officeDocument/2006/relationships/hyperlink" Target="https://www.lavrpack.ru/catalog/?product=d5f34722-6c16-11ef-ab51-1cfd08767542%23f8213c44-6c16-11ef-ab51-1cfd08767542" TargetMode="External"/><Relationship Id="rId_hyperlink_363" Type="http://schemas.openxmlformats.org/officeDocument/2006/relationships/hyperlink" Target="https://www.lavrpack.ru/catalog/?product=d5f34722-6c16-11ef-ab51-1cfd08767542%23f0b9cfb5-6c16-11ef-ab51-1cfd08767542" TargetMode="External"/><Relationship Id="rId_hyperlink_364" Type="http://schemas.openxmlformats.org/officeDocument/2006/relationships/hyperlink" Target="https://www.lavrpack.ru/catalog/?product=d5f34722-6c16-11ef-ab51-1cfd08767542%23f0b9cea8-6c16-11ef-ab51-1cfd08767542" TargetMode="External"/><Relationship Id="rId_hyperlink_365" Type="http://schemas.openxmlformats.org/officeDocument/2006/relationships/hyperlink" Target="https://www.lavrpack.ru/catalog/?product=d5f34722-6c16-11ef-ab51-1cfd08767542%23ea72de82-6c16-11ef-ab51-1cfd08767542" TargetMode="External"/><Relationship Id="rId_hyperlink_366" Type="http://schemas.openxmlformats.org/officeDocument/2006/relationships/hyperlink" Target="https://www.lavrpack.ru/catalog/?product=d5f34722-6c16-11ef-ab51-1cfd08767542%23e2eed522-6c16-11ef-ab51-1cfd08767542" TargetMode="External"/><Relationship Id="rId_hyperlink_367" Type="http://schemas.openxmlformats.org/officeDocument/2006/relationships/hyperlink" Target="https://www.lavrpack.ru/catalog/?product=d5f34722-6c16-11ef-ab51-1cfd08767542%23dcb16db1-6c16-11ef-ab51-1cfd08767542" TargetMode="External"/><Relationship Id="rId_hyperlink_368" Type="http://schemas.openxmlformats.org/officeDocument/2006/relationships/hyperlink" Target="https://www.lavrpack.ru/catalog/?product=d5f34722-6c16-11ef-ab51-1cfd08767542%23d79c5eb7-1435-11f0-ab40-22344d083d2c" TargetMode="External"/><Relationship Id="rId_hyperlink_369" Type="http://schemas.openxmlformats.org/officeDocument/2006/relationships/hyperlink" Target="https://www.lavrpack.ru/catalog/?product=0ae20b56-a813-11f0-ab48-22344d083d2c%23d6c295a8-a815-11f0-ab48-22344d083d2c" TargetMode="External"/><Relationship Id="rId_hyperlink_370" Type="http://schemas.openxmlformats.org/officeDocument/2006/relationships/hyperlink" Target="https://www.lavrpack.ru/catalog/?product=0ae20b56-a813-11f0-ab48-22344d083d2c%23eb0f0003-a815-11f0-ab48-22344d083d2c" TargetMode="External"/><Relationship Id="rId_hyperlink_371" Type="http://schemas.openxmlformats.org/officeDocument/2006/relationships/hyperlink" Target="https://www.lavrpack.ru/catalog/?product=0ae20b56-a813-11f0-ab48-22344d083d2c%23e33d01c1-a815-11f0-ab48-22344d083d2c" TargetMode="External"/><Relationship Id="rId_hyperlink_372" Type="http://schemas.openxmlformats.org/officeDocument/2006/relationships/hyperlink" Target="https://www.lavrpack.ru/catalog/?product=0ae20b56-a813-11f0-ab48-22344d083d2c%23f2a92780-a815-11f0-ab48-22344d083d2c" TargetMode="External"/><Relationship Id="rId_hyperlink_373" Type="http://schemas.openxmlformats.org/officeDocument/2006/relationships/hyperlink" Target="https://www.lavrpack.ru/catalog/?product=0ae20b56-a813-11f0-ab48-22344d083d2c%2318ddb3b8-a813-11f0-ab48-22344d083d2c" TargetMode="External"/><Relationship Id="rId_hyperlink_374" Type="http://schemas.openxmlformats.org/officeDocument/2006/relationships/hyperlink" Target="https://www.lavrpack.ru/catalog/?product=1c73b462-a730-11ef-ab3b-22344d083d2c%232cbdbe70-a730-11ef-ab3b-22344d083d2c" TargetMode="External"/><Relationship Id="rId_hyperlink_375" Type="http://schemas.openxmlformats.org/officeDocument/2006/relationships/hyperlink" Target="https://www.lavrpack.ru/catalog/?product=1c73b462-a730-11ef-ab3b-22344d083d2c%2333d79120-a730-11ef-ab3b-22344d083d2c" TargetMode="External"/><Relationship Id="rId_hyperlink_376" Type="http://schemas.openxmlformats.org/officeDocument/2006/relationships/hyperlink" Target="https://www.lavrpack.ru/catalog/?product=1c73b462-a730-11ef-ab3b-22344d083d2c%23493f12bf-a730-11ef-ab3b-22344d083d2c" TargetMode="External"/><Relationship Id="rId_hyperlink_377" Type="http://schemas.openxmlformats.org/officeDocument/2006/relationships/hyperlink" Target="https://www.lavrpack.ru/catalog/?product=1c73b462-a730-11ef-ab3b-22344d083d2c%2342307cca-a730-11ef-ab3b-22344d083d2c" TargetMode="External"/><Relationship Id="rId_hyperlink_378" Type="http://schemas.openxmlformats.org/officeDocument/2006/relationships/hyperlink" Target="https://www.lavrpack.ru/catalog/?product=1c73b462-a730-11ef-ab3b-22344d083d2c%2326726100-a730-11ef-ab3b-22344d083d2c" TargetMode="External"/><Relationship Id="rId_hyperlink_379" Type="http://schemas.openxmlformats.org/officeDocument/2006/relationships/hyperlink" Target="https://www.lavrpack.ru/catalog/?product=1c73b462-a730-11ef-ab3b-22344d083d2c%2339f59c2e-a730-11ef-ab3b-22344d083d2c" TargetMode="External"/><Relationship Id="rId_hyperlink_380" Type="http://schemas.openxmlformats.org/officeDocument/2006/relationships/hyperlink" Target="https://www.lavrpack.ru/catalog/?product=41bfa19b-a667-11ef-ab3b-22344d083d2c%2358ff2c2a-a667-11ef-ab3b-22344d083d2c" TargetMode="External"/><Relationship Id="rId_hyperlink_381" Type="http://schemas.openxmlformats.org/officeDocument/2006/relationships/hyperlink" Target="https://www.lavrpack.ru/catalog/?product=41bfa19b-a667-11ef-ab3b-22344d083d2c%2351f525b6-a667-11ef-ab3b-22344d083d2c" TargetMode="External"/><Relationship Id="rId_hyperlink_382" Type="http://schemas.openxmlformats.org/officeDocument/2006/relationships/hyperlink" Target="https://www.lavrpack.ru/catalog/?product=41bfa19b-a667-11ef-ab3b-22344d083d2c%23656e572b-a667-11ef-ab3b-22344d083d2c" TargetMode="External"/><Relationship Id="rId_hyperlink_383" Type="http://schemas.openxmlformats.org/officeDocument/2006/relationships/hyperlink" Target="https://www.lavrpack.ru/catalog/?product=41bfa19b-a667-11ef-ab3b-22344d083d2c%235ef9c131-a667-11ef-ab3b-22344d083d2c" TargetMode="External"/><Relationship Id="rId_hyperlink_384" Type="http://schemas.openxmlformats.org/officeDocument/2006/relationships/hyperlink" Target="https://www.lavrpack.ru/catalog/?product=41bfa19b-a667-11ef-ab3b-22344d083d2c%2371aa6f80-a667-11ef-ab3b-22344d083d2c" TargetMode="External"/><Relationship Id="rId_hyperlink_385" Type="http://schemas.openxmlformats.org/officeDocument/2006/relationships/hyperlink" Target="https://www.lavrpack.ru/catalog/?product=41bfa19b-a667-11ef-ab3b-22344d083d2c%23783bae78-a667-11ef-ab3b-22344d083d2c" TargetMode="External"/><Relationship Id="rId_hyperlink_386" Type="http://schemas.openxmlformats.org/officeDocument/2006/relationships/hyperlink" Target="https://www.lavrpack.ru/catalog/?product=9d8be293-de19-11ef-ab3c-22344d083d2c%23b767b370-de19-11ef-ab3c-22344d083d2c" TargetMode="External"/><Relationship Id="rId_hyperlink_387" Type="http://schemas.openxmlformats.org/officeDocument/2006/relationships/hyperlink" Target="https://www.lavrpack.ru/catalog/?product=ffdb6c1f-a72e-11ef-ab3b-22344d083d2c%231e586b46-a72f-11ef-ab3b-22344d083d2c" TargetMode="External"/><Relationship Id="rId_hyperlink_388" Type="http://schemas.openxmlformats.org/officeDocument/2006/relationships/hyperlink" Target="https://www.lavrpack.ru/catalog/?product=ffdb6c1f-a72e-11ef-ab3b-22344d083d2c%230da84b50-a72f-11ef-ab3b-22344d083d2c" TargetMode="External"/><Relationship Id="rId_hyperlink_389" Type="http://schemas.openxmlformats.org/officeDocument/2006/relationships/hyperlink" Target="https://www.lavrpack.ru/catalog/?product=09594871-a81c-11f0-ab48-22344d083d2c%233ee7a3a1-a81c-11f0-ab48-22344d083d2c" TargetMode="External"/><Relationship Id="rId_hyperlink_390" Type="http://schemas.openxmlformats.org/officeDocument/2006/relationships/hyperlink" Target="https://www.lavrpack.ru/catalog/?product=be617228-6c17-11ef-ab51-1cfd08767542%23671d980d-1436-11f0-ab40-22344d083d2c" TargetMode="External"/><Relationship Id="rId_hyperlink_391" Type="http://schemas.openxmlformats.org/officeDocument/2006/relationships/hyperlink" Target="https://www.lavrpack.ru/catalog/?product=be617228-6c17-11ef-ab51-1cfd08767542%23eda2cc61-6c17-11ef-ab51-1cfd08767542" TargetMode="External"/><Relationship Id="rId_hyperlink_392" Type="http://schemas.openxmlformats.org/officeDocument/2006/relationships/hyperlink" Target="https://www.lavrpack.ru/catalog/?product=be617228-6c17-11ef-ab51-1cfd08767542%230decc324-6c18-11ef-ab51-1cfd08767542" TargetMode="External"/><Relationship Id="rId_hyperlink_393" Type="http://schemas.openxmlformats.org/officeDocument/2006/relationships/hyperlink" Target="https://www.lavrpack.ru/catalog/?product=be617228-6c17-11ef-ab51-1cfd08767542%23c521fac8-6c17-11ef-ab51-1cfd08767542" TargetMode="External"/><Relationship Id="rId_hyperlink_394" Type="http://schemas.openxmlformats.org/officeDocument/2006/relationships/hyperlink" Target="https://www.lavrpack.ru/catalog/?product=be617228-6c17-11ef-ab51-1cfd08767542%23e0968e02-6c17-11ef-ab51-1cfd08767542" TargetMode="External"/><Relationship Id="rId_hyperlink_395" Type="http://schemas.openxmlformats.org/officeDocument/2006/relationships/hyperlink" Target="https://www.lavrpack.ru/catalog/?product=be617228-6c17-11ef-ab51-1cfd08767542%231b0023f1-6c18-11ef-ab51-1cfd08767542" TargetMode="External"/><Relationship Id="rId_hyperlink_396" Type="http://schemas.openxmlformats.org/officeDocument/2006/relationships/hyperlink" Target="https://www.lavrpack.ru/catalog/?product=be617228-6c17-11ef-ab51-1cfd08767542%23e0968e5d-6c17-11ef-ab51-1cfd08767542" TargetMode="External"/><Relationship Id="rId_hyperlink_397" Type="http://schemas.openxmlformats.org/officeDocument/2006/relationships/hyperlink" Target="https://www.lavrpack.ru/catalog/?product=262b3556-6c19-11ef-ab51-1cfd08767542%234ccccdf0-6c19-11ef-ab51-1cfd08767542" TargetMode="External"/><Relationship Id="rId_hyperlink_398" Type="http://schemas.openxmlformats.org/officeDocument/2006/relationships/hyperlink" Target="https://www.lavrpack.ru/catalog/?product=262b3556-6c19-11ef-ab51-1cfd08767542%2332ce8a9a-6c19-11ef-ab51-1cfd08767542" TargetMode="External"/><Relationship Id="rId_hyperlink_399" Type="http://schemas.openxmlformats.org/officeDocument/2006/relationships/hyperlink" Target="https://www.lavrpack.ru/catalog/?product=262b3556-6c19-11ef-ab51-1cfd08767542%232c9aad65-6c19-11ef-ab51-1cfd08767542" TargetMode="External"/><Relationship Id="rId_hyperlink_400" Type="http://schemas.openxmlformats.org/officeDocument/2006/relationships/hyperlink" Target="https://www.lavrpack.ru/catalog/?product=262b3556-6c19-11ef-ab51-1cfd08767542%23550ace51-6c19-11ef-ab51-1cfd08767542" TargetMode="External"/><Relationship Id="rId_hyperlink_401" Type="http://schemas.openxmlformats.org/officeDocument/2006/relationships/hyperlink" Target="https://www.lavrpack.ru/catalog/?product=262b3556-6c19-11ef-ab51-1cfd08767542%23dd34fedc-1436-11f0-ab40-22344d083d2c" TargetMode="External"/><Relationship Id="rId_hyperlink_402" Type="http://schemas.openxmlformats.org/officeDocument/2006/relationships/hyperlink" Target="https://www.lavrpack.ru/catalog/?product=262b3556-6c19-11ef-ab51-1cfd08767542%233f52e3a1-6c19-11ef-ab51-1cfd08767542" TargetMode="External"/><Relationship Id="rId_hyperlink_403" Type="http://schemas.openxmlformats.org/officeDocument/2006/relationships/hyperlink" Target="https://www.lavrpack.ru/catalog/?product=262b3556-6c19-11ef-ab51-1cfd08767542%232c9aad76-6c19-11ef-ab51-1cfd08767542" TargetMode="External"/><Relationship Id="rId_hyperlink_404" Type="http://schemas.openxmlformats.org/officeDocument/2006/relationships/hyperlink" Target="https://www.lavrpack.ru/catalog/?product=262b3556-6c19-11ef-ab51-1cfd08767542%234ccccde0-6c19-11ef-ab51-1cfd08767542" TargetMode="External"/><Relationship Id="rId_hyperlink_405" Type="http://schemas.openxmlformats.org/officeDocument/2006/relationships/hyperlink" Target="https://www.lavrpack.ru/catalog/?product=25589da0-de1f-11ef-ab3c-22344d083d2c%2375ca28dd-de1f-11ef-ab3c-22344d083d2c" TargetMode="External"/><Relationship Id="rId_hyperlink_406" Type="http://schemas.openxmlformats.org/officeDocument/2006/relationships/hyperlink" Target="https://www.lavrpack.ru/catalog/?product=25589da0-de1f-11ef-ab3c-22344d083d2c%23681bdb86-de1f-11ef-ab3c-22344d083d2c" TargetMode="External"/><Relationship Id="rId_hyperlink_407" Type="http://schemas.openxmlformats.org/officeDocument/2006/relationships/hyperlink" Target="https://www.lavrpack.ru/catalog/?product=6e3a8374-de20-11ef-ab3c-22344d083d2c%238b2149be-de20-11ef-ab3c-22344d083d2c" TargetMode="External"/><Relationship Id="rId_hyperlink_408" Type="http://schemas.openxmlformats.org/officeDocument/2006/relationships/hyperlink" Target="https://www.lavrpack.ru/catalog/?product=6e3a8374-de20-11ef-ab3c-22344d083d2c%2382df3eca-de20-11ef-ab3c-22344d083d2c" TargetMode="External"/><Relationship Id="rId_hyperlink_409" Type="http://schemas.openxmlformats.org/officeDocument/2006/relationships/hyperlink" Target="https://www.lavrpack.ru/catalog/?product=b68e05a3-a640-11ef-ab3b-22344d083d2c%235c084863-a641-11ef-ab3b-22344d083d2c" TargetMode="External"/><Relationship Id="rId_hyperlink_410" Type="http://schemas.openxmlformats.org/officeDocument/2006/relationships/hyperlink" Target="https://www.lavrpack.ru/catalog/?product=b68e05a3-a640-11ef-ab3b-22344d083d2c%233f90c85d-a641-11ef-ab3b-22344d083d2c" TargetMode="External"/><Relationship Id="rId_hyperlink_411" Type="http://schemas.openxmlformats.org/officeDocument/2006/relationships/hyperlink" Target="https://www.lavrpack.ru/catalog/?product=b68e05a3-a640-11ef-ab3b-22344d083d2c%230d1b06a2-a641-11ef-ab3b-22344d083d2c" TargetMode="External"/><Relationship Id="rId_hyperlink_412" Type="http://schemas.openxmlformats.org/officeDocument/2006/relationships/hyperlink" Target="https://www.lavrpack.ru/catalog/?product=c34cd607-18d0-11ef-b78f-00e01a6800eb%23da59c94e-18d0-11ef-b78f-00e01a6800eb" TargetMode="External"/><Relationship Id="rId_hyperlink_413" Type="http://schemas.openxmlformats.org/officeDocument/2006/relationships/hyperlink" Target="https://www.lavrpack.ru/catalog/?product=c34cd607-18d0-11ef-b78f-00e01a6800eb%23cad02de4-18d0-11ef-b78f-00e01a6800eb" TargetMode="External"/><Relationship Id="rId_hyperlink_414" Type="http://schemas.openxmlformats.org/officeDocument/2006/relationships/hyperlink" Target="https://www.lavrpack.ru/catalog/?product=71e785e0-18d1-11ef-b78f-00e01a6800eb%2378fd5e80-18d1-11ef-b78f-00e01a6800eb" TargetMode="External"/><Relationship Id="rId_hyperlink_415" Type="http://schemas.openxmlformats.org/officeDocument/2006/relationships/hyperlink" Target="https://www.lavrpack.ru/catalog/?product=71e785e0-18d1-11ef-b78f-00e01a6800eb%2371e78614-18d1-11ef-b78f-00e01a6800eb" TargetMode="External"/><Relationship Id="rId_hyperlink_416" Type="http://schemas.openxmlformats.org/officeDocument/2006/relationships/hyperlink" Target="https://www.lavrpack.ru/catalog/?product=681473b5-7696-11f0-ab47-22344d083d2c%2374d791e6-7696-11f0-ab47-22344d083d2c" TargetMode="External"/><Relationship Id="rId_hyperlink_417" Type="http://schemas.openxmlformats.org/officeDocument/2006/relationships/hyperlink" Target="https://www.lavrpack.ru/catalog/?product=681473b5-7696-11f0-ab47-22344d083d2c%236e7614a9-7696-11f0-ab47-22344d083d2c" TargetMode="External"/><Relationship Id="rId_hyperlink_418" Type="http://schemas.openxmlformats.org/officeDocument/2006/relationships/hyperlink" Target="https://www.lavrpack.ru/catalog/?product=681473b5-7696-11f0-ab47-22344d083d2c%2380d66d52-7696-11f0-ab47-22344d083d2c" TargetMode="External"/><Relationship Id="rId_hyperlink_419" Type="http://schemas.openxmlformats.org/officeDocument/2006/relationships/hyperlink" Target="https://www.lavrpack.ru/catalog/?product=681473b5-7696-11f0-ab47-22344d083d2c%2387848f8a-7696-11f0-ab47-22344d083d2c" TargetMode="External"/><Relationship Id="rId_hyperlink_420" Type="http://schemas.openxmlformats.org/officeDocument/2006/relationships/hyperlink" Target="https://www.lavrpack.ru/catalog/?product=681473b5-7696-11f0-ab47-22344d083d2c%23943a72c6-7696-11f0-ab47-22344d083d2c" TargetMode="External"/><Relationship Id="rId_hyperlink_421" Type="http://schemas.openxmlformats.org/officeDocument/2006/relationships/hyperlink" Target="https://www.lavrpack.ru/catalog/?product=681473b5-7696-11f0-ab47-22344d083d2c%238dadb66e-7696-11f0-ab47-22344d083d2c" TargetMode="External"/><Relationship Id="rId_hyperlink_422" Type="http://schemas.openxmlformats.org/officeDocument/2006/relationships/hyperlink" Target="https://www.lavrpack.ru/catalog/?product=9195dfb9-7f2e-11ec-b73f-0018e40a3af2" TargetMode="External"/><Relationship Id="rId_hyperlink_423" Type="http://schemas.openxmlformats.org/officeDocument/2006/relationships/hyperlink" Target="https://www.lavrpack.ru/catalog/?product=314214ca-7f2f-11ec-b73f-0018e40a3af2" TargetMode="External"/><Relationship Id="rId_hyperlink_424" Type="http://schemas.openxmlformats.org/officeDocument/2006/relationships/hyperlink" Target="https://www.lavrpack.ru/catalog/?product=498fa9f3-093d-11f0-ab3f-22344d083d2c" TargetMode="External"/><Relationship Id="rId_hyperlink_425" Type="http://schemas.openxmlformats.org/officeDocument/2006/relationships/hyperlink" Target="https://www.lavrpack.ru/catalog/?product=4f1aa30f-093e-11f0-ab3f-22344d083d2c" TargetMode="External"/><Relationship Id="rId_hyperlink_426" Type="http://schemas.openxmlformats.org/officeDocument/2006/relationships/hyperlink" Target="https://www.lavrpack.ru/catalog/?product=ff39148f-7f2d-11ec-b73f-0018e40a3af2" TargetMode="External"/><Relationship Id="rId_hyperlink_427" Type="http://schemas.openxmlformats.org/officeDocument/2006/relationships/hyperlink" Target="https://www.lavrpack.ru/catalog/?product=b63def3c-093e-11f0-ab3f-22344d083d2c" TargetMode="External"/><Relationship Id="rId_hyperlink_428" Type="http://schemas.openxmlformats.org/officeDocument/2006/relationships/hyperlink" Target="https://www.lavrpack.ru/catalog/?product=06445625-7f2f-11ec-b73f-0018e40a3af2" TargetMode="External"/><Relationship Id="rId_hyperlink_429" Type="http://schemas.openxmlformats.org/officeDocument/2006/relationships/hyperlink" Target="https://www.lavrpack.ru/catalog/?product=00268c69-2f46-11ed-8758-00e01a6800eb" TargetMode="External"/><Relationship Id="rId_hyperlink_430" Type="http://schemas.openxmlformats.org/officeDocument/2006/relationships/hyperlink" Target="https://www.lavrpack.ru/catalog/?product=2ea5db5a-6521-11ef-ab51-1cfd08767542%2341fdce21-6521-11ef-ab51-1cfd08767542" TargetMode="External"/><Relationship Id="rId_hyperlink_431" Type="http://schemas.openxmlformats.org/officeDocument/2006/relationships/hyperlink" Target="https://www.lavrpack.ru/catalog/?product=f0ca1aa5-0088-11ef-9f05-00e01a6800eb%23160781e0-0089-11ef-9f05-00e01a6800eb" TargetMode="External"/><Relationship Id="rId_hyperlink_432" Type="http://schemas.openxmlformats.org/officeDocument/2006/relationships/hyperlink" Target="https://www.lavrpack.ru/catalog/?product=db6bc4d6-e270-11ed-8488-00e01a6800eb%23960e0c55-fe22-11ee-9f05-00e01a6800eb" TargetMode="External"/><Relationship Id="rId_hyperlink_433" Type="http://schemas.openxmlformats.org/officeDocument/2006/relationships/hyperlink" Target="https://www.lavrpack.ru/catalog/?product=db6bc4d6-e270-11ed-8488-00e01a6800eb%239df55dfe-fe22-11ee-9f05-00e01a6800eb" TargetMode="External"/><Relationship Id="rId_hyperlink_434" Type="http://schemas.openxmlformats.org/officeDocument/2006/relationships/hyperlink" Target="https://www.lavrpack.ru/catalog/?product=65f47df8-e271-11ed-8488-00e01a6800eb%2399d11dc4-fe20-11ee-9f05-00e01a6800eb" TargetMode="External"/><Relationship Id="rId_hyperlink_435" Type="http://schemas.openxmlformats.org/officeDocument/2006/relationships/hyperlink" Target="https://www.lavrpack.ru/catalog/?product=e521b54d-3f51-11ef-ab4d-1cfd08767543%2305ac03f9-3f52-11ef-ab4d-1cfd08767543" TargetMode="External"/><Relationship Id="rId_hyperlink_436" Type="http://schemas.openxmlformats.org/officeDocument/2006/relationships/hyperlink" Target="https://www.lavrpack.ru/catalog/?product=e521b54d-3f51-11ef-ab4d-1cfd08767543%230dac0518-3f52-11ef-ab4d-1cfd08767543" TargetMode="External"/><Relationship Id="rId_hyperlink_437" Type="http://schemas.openxmlformats.org/officeDocument/2006/relationships/hyperlink" Target="https://www.lavrpack.ru/catalog/?product=9899e4a2-0078-11ef-9f05-00e01a6800eb%23b5175d68-0078-11ef-9f05-00e01a6800eb" TargetMode="External"/><Relationship Id="rId_hyperlink_438" Type="http://schemas.openxmlformats.org/officeDocument/2006/relationships/hyperlink" Target="https://www.lavrpack.ru/catalog/?product=9d4a5585-70cc-11ef-ab51-1cfd08767542%23ce4c6507-70cd-11ef-ab51-1cfd08767542" TargetMode="External"/><Relationship Id="rId_hyperlink_439" Type="http://schemas.openxmlformats.org/officeDocument/2006/relationships/hyperlink" Target="https://www.lavrpack.ru/catalog/?product=9d4a5585-70cc-11ef-ab51-1cfd08767542%23dcaff72a-70cd-11ef-ab51-1cfd08767542" TargetMode="External"/><Relationship Id="rId_hyperlink_440" Type="http://schemas.openxmlformats.org/officeDocument/2006/relationships/hyperlink" Target="https://www.lavrpack.ru/catalog/?product=9d4a5585-70cc-11ef-ab51-1cfd08767542%233d62f537-70ce-11ef-ab51-1cfd08767542" TargetMode="External"/><Relationship Id="rId_hyperlink_441" Type="http://schemas.openxmlformats.org/officeDocument/2006/relationships/hyperlink" Target="https://www.lavrpack.ru/catalog/?product=4e8b3f36-6525-11ef-ab51-1cfd08767542%2306466a11-6526-11ef-ab51-1cfd08767542" TargetMode="External"/><Relationship Id="rId_hyperlink_442" Type="http://schemas.openxmlformats.org/officeDocument/2006/relationships/hyperlink" Target="https://www.lavrpack.ru/catalog/?product=4e8b3f36-6525-11ef-ab51-1cfd08767542%231156e79c-6526-11ef-ab51-1cfd08767542" TargetMode="External"/><Relationship Id="rId_hyperlink_443" Type="http://schemas.openxmlformats.org/officeDocument/2006/relationships/hyperlink" Target="https://www.lavrpack.ru/catalog/?product=4e8b3f36-6525-11ef-ab51-1cfd08767542%233b2f5f8d-6526-11ef-ab51-1cfd08767542" TargetMode="External"/><Relationship Id="rId_hyperlink_444" Type="http://schemas.openxmlformats.org/officeDocument/2006/relationships/hyperlink" Target="https://www.lavrpack.ru/catalog/?product=576da481-6527-11ef-ab51-1cfd08767542%236e60510c-6527-11ef-ab51-1cfd08767542" TargetMode="External"/><Relationship Id="rId_hyperlink_445" Type="http://schemas.openxmlformats.org/officeDocument/2006/relationships/hyperlink" Target="https://www.lavrpack.ru/catalog/?product=576da481-6527-11ef-ab51-1cfd08767542%237e2bec48-6527-11ef-ab51-1cfd08767542" TargetMode="External"/><Relationship Id="rId_hyperlink_446" Type="http://schemas.openxmlformats.org/officeDocument/2006/relationships/hyperlink" Target="https://www.lavrpack.ru/catalog/?product=576da481-6527-11ef-ab51-1cfd08767542%2391226882-6527-11ef-ab51-1cfd08767542" TargetMode="External"/><Relationship Id="rId_hyperlink_447" Type="http://schemas.openxmlformats.org/officeDocument/2006/relationships/hyperlink" Target="https://www.lavrpack.ru/catalog/?product=576da481-6527-11ef-ab51-1cfd08767542%23a0bbeb49-6527-11ef-ab51-1cfd08767542" TargetMode="External"/><Relationship Id="rId_hyperlink_448" Type="http://schemas.openxmlformats.org/officeDocument/2006/relationships/hyperlink" Target="https://www.lavrpack.ru/catalog/?product=576da481-6527-11ef-ab51-1cfd08767542%23b0a1ba1e-6527-11ef-ab51-1cfd08767542" TargetMode="External"/><Relationship Id="rId_hyperlink_449" Type="http://schemas.openxmlformats.org/officeDocument/2006/relationships/hyperlink" Target="https://www.lavrpack.ru/catalog/?product=576da481-6527-11ef-ab51-1cfd08767542%23be0af60b-6527-11ef-ab51-1cfd08767542" TargetMode="External"/><Relationship Id="rId_hyperlink_450" Type="http://schemas.openxmlformats.org/officeDocument/2006/relationships/hyperlink" Target="https://www.lavrpack.ru/catalog/?product=18fe46c5-1983-11ee-8f7e-00e01a6800eb%23140c6736-a375-11f0-ab48-22344d083d2c" TargetMode="External"/><Relationship Id="rId_hyperlink_451" Type="http://schemas.openxmlformats.org/officeDocument/2006/relationships/hyperlink" Target="https://www.lavrpack.ru/catalog/?product=18fe46c5-1983-11ee-8f7e-00e01a6800eb%23136779b1-fe27-11ee-9f05-00e01a6800eb" TargetMode="External"/><Relationship Id="rId_hyperlink_452" Type="http://schemas.openxmlformats.org/officeDocument/2006/relationships/hyperlink" Target="https://www.lavrpack.ru/catalog/?product=18fe46c5-1983-11ee-8f7e-00e01a6800eb%2343b81a1a-1983-11ee-8f7e-00e01a6800eb" TargetMode="External"/><Relationship Id="rId_hyperlink_453" Type="http://schemas.openxmlformats.org/officeDocument/2006/relationships/hyperlink" Target="https://www.lavrpack.ru/catalog/?product=18fe46c5-1983-11ee-8f7e-00e01a6800eb%23fc9d2cf1-fe26-11ee-9f05-00e01a6800eb" TargetMode="External"/><Relationship Id="rId_hyperlink_454" Type="http://schemas.openxmlformats.org/officeDocument/2006/relationships/hyperlink" Target="https://www.lavrpack.ru/catalog/?product=18fe46c5-1983-11ee-8f7e-00e01a6800eb%23536eef5f-1983-11ee-8f7e-00e01a6800eb" TargetMode="External"/><Relationship Id="rId_hyperlink_455" Type="http://schemas.openxmlformats.org/officeDocument/2006/relationships/hyperlink" Target="https://www.lavrpack.ru/catalog/?product=18fe46c5-1983-11ee-8f7e-00e01a6800eb%23ae487a44-093f-11f0-ab3f-22344d083d2c" TargetMode="External"/><Relationship Id="rId_hyperlink_456" Type="http://schemas.openxmlformats.org/officeDocument/2006/relationships/hyperlink" Target="https://www.lavrpack.ru/catalog/?product=18fe46c5-1983-11ee-8f7e-00e01a6800eb%23bab96f9e-093f-11f0-ab3f-22344d083d2c" TargetMode="External"/><Relationship Id="rId_hyperlink_457" Type="http://schemas.openxmlformats.org/officeDocument/2006/relationships/hyperlink" Target="https://www.lavrpack.ru/catalog/?product=4ee638b0-652a-11ef-ab51-1cfd08767542%23823700d9-652a-11ef-ab51-1cfd08767542" TargetMode="External"/><Relationship Id="rId_hyperlink_458" Type="http://schemas.openxmlformats.org/officeDocument/2006/relationships/hyperlink" Target="https://www.lavrpack.ru/catalog/?product=a7730171-652b-11ef-ab51-1cfd08767542%23f73c32b6-652b-11ef-ab51-1cfd08767542" TargetMode="External"/><Relationship Id="rId_hyperlink_459" Type="http://schemas.openxmlformats.org/officeDocument/2006/relationships/hyperlink" Target="https://www.lavrpack.ru/catalog/?product=a7730171-652b-11ef-ab51-1cfd08767542%23a9f8a2fa-6ea1-11ef-ab51-1cfd08767542" TargetMode="External"/><Relationship Id="rId_hyperlink_460" Type="http://schemas.openxmlformats.org/officeDocument/2006/relationships/hyperlink" Target="https://www.lavrpack.ru/catalog/?product=a7730171-652b-11ef-ab51-1cfd08767542%2323f72d15-6ea2-11ef-ab51-1cfd08767542" TargetMode="External"/><Relationship Id="rId_hyperlink_461" Type="http://schemas.openxmlformats.org/officeDocument/2006/relationships/hyperlink" Target="https://www.lavrpack.ru/catalog/?product=a7730171-652b-11ef-ab51-1cfd08767542%233199a0cb-6ea2-11ef-ab51-1cfd08767542" TargetMode="External"/><Relationship Id="rId_hyperlink_462" Type="http://schemas.openxmlformats.org/officeDocument/2006/relationships/hyperlink" Target="https://www.lavrpack.ru/catalog/?product=a7730171-652b-11ef-ab51-1cfd08767542%23673c2518-6ea2-11ef-ab51-1cfd08767542" TargetMode="External"/><Relationship Id="rId_hyperlink_463" Type="http://schemas.openxmlformats.org/officeDocument/2006/relationships/hyperlink" Target="https://www.lavrpack.ru/catalog/?product=a7730171-652b-11ef-ab51-1cfd08767542%23734947cd-6ea2-11ef-ab51-1cfd08767542" TargetMode="External"/><Relationship Id="rId_hyperlink_464" Type="http://schemas.openxmlformats.org/officeDocument/2006/relationships/hyperlink" Target="https://www.lavrpack.ru/catalog/?product=a7730171-652b-11ef-ab51-1cfd08767542%237fd72a6b-6ea2-11ef-ab51-1cfd08767542" TargetMode="External"/><Relationship Id="rId_hyperlink_465" Type="http://schemas.openxmlformats.org/officeDocument/2006/relationships/hyperlink" Target="https://www.lavrpack.ru/catalog/?product=a7730171-652b-11ef-ab51-1cfd08767542%23f9c74b47-6ea2-11ef-ab51-1cfd08767542" TargetMode="External"/><Relationship Id="rId_hyperlink_466" Type="http://schemas.openxmlformats.org/officeDocument/2006/relationships/hyperlink" Target="https://www.lavrpack.ru/catalog/?product=a7730171-652b-11ef-ab51-1cfd08767542%231bbc1b49-6ea3-11ef-ab51-1cfd08767542" TargetMode="External"/><Relationship Id="rId_hyperlink_467" Type="http://schemas.openxmlformats.org/officeDocument/2006/relationships/hyperlink" Target="https://www.lavrpack.ru/catalog/?product=d33b4578-6ea6-11ef-ab51-1cfd08767542%23e751e423-6ea6-11ef-ab51-1cfd08767542" TargetMode="External"/><Relationship Id="rId_hyperlink_468" Type="http://schemas.openxmlformats.org/officeDocument/2006/relationships/hyperlink" Target="https://www.lavrpack.ru/catalog/?product=d33b4578-6ea6-11ef-ab51-1cfd08767542%23ee27dda0-6ea6-11ef-ab51-1cfd08767542" TargetMode="External"/><Relationship Id="rId_hyperlink_469" Type="http://schemas.openxmlformats.org/officeDocument/2006/relationships/hyperlink" Target="https://www.lavrpack.ru/catalog/?product=d33b4578-6ea6-11ef-ab51-1cfd08767542%2346636c60-6ea7-11ef-ab51-1cfd08767542" TargetMode="External"/><Relationship Id="rId_hyperlink_470" Type="http://schemas.openxmlformats.org/officeDocument/2006/relationships/hyperlink" Target="https://www.lavrpack.ru/catalog/?product=d33b4578-6ea6-11ef-ab51-1cfd08767542%235b556cee-6ea7-11ef-ab51-1cfd08767542" TargetMode="External"/><Relationship Id="rId_hyperlink_471" Type="http://schemas.openxmlformats.org/officeDocument/2006/relationships/hyperlink" Target="https://www.lavrpack.ru/catalog/?product=d33b4578-6ea6-11ef-ab51-1cfd08767542%236ef75000-6ea7-11ef-ab51-1cfd08767542" TargetMode="External"/><Relationship Id="rId_hyperlink_472" Type="http://schemas.openxmlformats.org/officeDocument/2006/relationships/hyperlink" Target="https://www.lavrpack.ru/catalog/?product=d33b4578-6ea6-11ef-ab51-1cfd08767542%23d2a066da-6ea7-11ef-ab51-1cfd08767542" TargetMode="External"/><Relationship Id="rId_hyperlink_473" Type="http://schemas.openxmlformats.org/officeDocument/2006/relationships/hyperlink" Target="https://www.lavrpack.ru/catalog/?product=d33b4578-6ea6-11ef-ab51-1cfd08767542%230b501fa2-6eaa-11ef-ab51-1cfd08767542" TargetMode="External"/><Relationship Id="rId_hyperlink_474" Type="http://schemas.openxmlformats.org/officeDocument/2006/relationships/hyperlink" Target="https://www.lavrpack.ru/catalog/?product=d33b4578-6ea6-11ef-ab51-1cfd08767542%2329dc450c-6eaa-11ef-ab51-1cfd08767542" TargetMode="External"/><Relationship Id="rId_hyperlink_475" Type="http://schemas.openxmlformats.org/officeDocument/2006/relationships/hyperlink" Target="https://www.lavrpack.ru/catalog/?product=a7b6419d-006a-11ef-9f05-00e01a6800eb%2341467c0b-0940-11f0-ab3f-22344d083d2c" TargetMode="External"/><Relationship Id="rId_hyperlink_476" Type="http://schemas.openxmlformats.org/officeDocument/2006/relationships/hyperlink" Target="https://www.lavrpack.ru/catalog/?product=a7b6419d-006a-11ef-9f05-00e01a6800eb%23c2fbe566-006a-11ef-9f05-00e01a6800eb" TargetMode="External"/><Relationship Id="rId_hyperlink_477" Type="http://schemas.openxmlformats.org/officeDocument/2006/relationships/hyperlink" Target="https://www.lavrpack.ru/catalog/?product=a7b6419d-006a-11ef-9f05-00e01a6800eb%23bc36fba1-006a-11ef-9f05-00e01a6800eb" TargetMode="External"/><Relationship Id="rId_hyperlink_478" Type="http://schemas.openxmlformats.org/officeDocument/2006/relationships/hyperlink" Target="https://www.lavrpack.ru/catalog/?product=b268abbe-006c-11ef-9f05-00e01a6800eb%23b9325846-006c-11ef-9f05-00e01a6800eb" TargetMode="External"/><Relationship Id="rId_hyperlink_479" Type="http://schemas.openxmlformats.org/officeDocument/2006/relationships/hyperlink" Target="https://www.lavrpack.ru/catalog/?product=b268abbe-006c-11ef-9f05-00e01a6800eb%236a995f34-0157-11ef-9f05-00e01a6800eb" TargetMode="External"/><Relationship Id="rId_hyperlink_480" Type="http://schemas.openxmlformats.org/officeDocument/2006/relationships/hyperlink" Target="https://www.lavrpack.ru/catalog/?product=ae3bfb34-e273-11ed-8488-00e01a6800eb%23a82b82e2-fe23-11ee-9f05-00e01a6800eb" TargetMode="External"/><Relationship Id="rId_hyperlink_481" Type="http://schemas.openxmlformats.org/officeDocument/2006/relationships/hyperlink" Target="https://www.lavrpack.ru/catalog/?product=8c01971a-6f47-11ef-ab51-1cfd08767542%2399ab30b4-6f47-11ef-ab51-1cfd08767542" TargetMode="External"/><Relationship Id="rId_hyperlink_482" Type="http://schemas.openxmlformats.org/officeDocument/2006/relationships/hyperlink" Target="https://www.lavrpack.ru/catalog/?product=8c01971a-6f47-11ef-ab51-1cfd08767542%23d80c7650-6f47-11ef-ab51-1cfd08767542" TargetMode="External"/><Relationship Id="rId_hyperlink_483" Type="http://schemas.openxmlformats.org/officeDocument/2006/relationships/hyperlink" Target="https://www.lavrpack.ru/catalog/?product=8c01971a-6f47-11ef-ab51-1cfd08767542%23004824c8-6f48-11ef-ab51-1cfd08767542" TargetMode="External"/><Relationship Id="rId_hyperlink_484" Type="http://schemas.openxmlformats.org/officeDocument/2006/relationships/hyperlink" Target="https://www.lavrpack.ru/catalog/?product=bc3ef5b4-6f4c-11ef-ab51-1cfd08767542%233a58bd1b-6f4d-11ef-ab51-1cfd08767542" TargetMode="External"/><Relationship Id="rId_hyperlink_485" Type="http://schemas.openxmlformats.org/officeDocument/2006/relationships/hyperlink" Target="https://www.lavrpack.ru/catalog/?product=bc3ef5b4-6f4c-11ef-ab51-1cfd08767542%2340c5d0ef-6f4d-11ef-ab51-1cfd08767542" TargetMode="External"/><Relationship Id="rId_hyperlink_486" Type="http://schemas.openxmlformats.org/officeDocument/2006/relationships/hyperlink" Target="https://www.lavrpack.ru/catalog/?product=bc3ef5b4-6f4c-11ef-ab51-1cfd08767542%2356daaf62-6f4d-11ef-ab51-1cfd08767542" TargetMode="External"/><Relationship Id="rId_hyperlink_487" Type="http://schemas.openxmlformats.org/officeDocument/2006/relationships/hyperlink" Target="https://www.lavrpack.ru/catalog/?product=bc3ef5b4-6f4c-11ef-ab51-1cfd08767542%23603e0ab2-6f4d-11ef-ab51-1cfd08767542" TargetMode="External"/><Relationship Id="rId_hyperlink_488" Type="http://schemas.openxmlformats.org/officeDocument/2006/relationships/hyperlink" Target="https://www.lavrpack.ru/catalog/?product=bc3ef5b4-6f4c-11ef-ab51-1cfd08767542%236788d998-6f4d-11ef-ab51-1cfd08767542" TargetMode="External"/><Relationship Id="rId_hyperlink_489" Type="http://schemas.openxmlformats.org/officeDocument/2006/relationships/hyperlink" Target="https://www.lavrpack.ru/catalog/?product=bc3ef5b4-6f4c-11ef-ab51-1cfd08767542%2374bd9ad0-6f4d-11ef-ab51-1cfd08767542" TargetMode="External"/><Relationship Id="rId_hyperlink_490" Type="http://schemas.openxmlformats.org/officeDocument/2006/relationships/hyperlink" Target="https://www.lavrpack.ru/catalog/?product=bc3ef5b4-6f4c-11ef-ab51-1cfd08767542%237e9f3584-6f4d-11ef-ab51-1cfd08767542" TargetMode="External"/><Relationship Id="rId_hyperlink_491" Type="http://schemas.openxmlformats.org/officeDocument/2006/relationships/hyperlink" Target="https://www.lavrpack.ru/catalog/?product=bc3ef5b4-6f4c-11ef-ab51-1cfd08767542%23859b5690-6f4d-11ef-ab51-1cfd08767542" TargetMode="External"/><Relationship Id="rId_hyperlink_492" Type="http://schemas.openxmlformats.org/officeDocument/2006/relationships/hyperlink" Target="https://www.lavrpack.ru/catalog/?product=5e100c10-720d-11ed-bb4b-00e01a6800eb" TargetMode="External"/><Relationship Id="rId_hyperlink_493" Type="http://schemas.openxmlformats.org/officeDocument/2006/relationships/hyperlink" Target="https://www.lavrpack.ru/catalog/?product=917ea250-6f4e-11ef-ab51-1cfd08767542%23d33eebb9-6f4e-11ef-ab51-1cfd08767542" TargetMode="External"/><Relationship Id="rId_hyperlink_494" Type="http://schemas.openxmlformats.org/officeDocument/2006/relationships/hyperlink" Target="https://www.lavrpack.ru/catalog/?product=917ea250-6f4e-11ef-ab51-1cfd08767542%23edc51427-6f4e-11ef-ab51-1cfd08767542" TargetMode="External"/><Relationship Id="rId_hyperlink_495" Type="http://schemas.openxmlformats.org/officeDocument/2006/relationships/hyperlink" Target="https://www.lavrpack.ru/catalog/?product=917ea250-6f4e-11ef-ab51-1cfd08767542%23f5019738-6f4e-11ef-ab51-1cfd08767542" TargetMode="External"/><Relationship Id="rId_hyperlink_496" Type="http://schemas.openxmlformats.org/officeDocument/2006/relationships/hyperlink" Target="https://www.lavrpack.ru/catalog/?product=c9c4dc3f-6f50-11ef-ab51-1cfd08767542%232068dfb3-6f51-11ef-ab51-1cfd08767542" TargetMode="External"/><Relationship Id="rId_hyperlink_497" Type="http://schemas.openxmlformats.org/officeDocument/2006/relationships/hyperlink" Target="https://www.lavrpack.ru/catalog/?product=6ba02150-6f52-11ef-ab51-1cfd08767542%2383a28e8c-6f52-11ef-ab51-1cfd08767542" TargetMode="External"/><Relationship Id="rId_hyperlink_498" Type="http://schemas.openxmlformats.org/officeDocument/2006/relationships/hyperlink" Target="https://www.lavrpack.ru/catalog/?product=a5194eeb-720a-11ed-bb4b-00e01a6800eb" TargetMode="External"/><Relationship Id="rId_hyperlink_499" Type="http://schemas.openxmlformats.org/officeDocument/2006/relationships/hyperlink" Target="https://www.lavrpack.ru/catalog/?product=bb0d871d-6f53-11ef-ab51-1cfd08767542%23c4ffd5dc-6f53-11ef-ab51-1cfd08767542" TargetMode="External"/><Relationship Id="rId_hyperlink_500" Type="http://schemas.openxmlformats.org/officeDocument/2006/relationships/hyperlink" Target="https://www.lavrpack.ru/catalog/?product=791c66be-6f61-11ef-ab51-1cfd08767542%2393695757-6f61-11ef-ab51-1cfd08767542" TargetMode="External"/><Relationship Id="rId_hyperlink_501" Type="http://schemas.openxmlformats.org/officeDocument/2006/relationships/hyperlink" Target="https://www.lavrpack.ru/catalog/?product=791c66be-6f61-11ef-ab51-1cfd08767542%23a5901db3-6f61-11ef-ab51-1cfd08767542" TargetMode="External"/><Relationship Id="rId_hyperlink_502" Type="http://schemas.openxmlformats.org/officeDocument/2006/relationships/hyperlink" Target="https://www.lavrpack.ru/catalog/?product=791c66be-6f61-11ef-ab51-1cfd08767542%2316883ddc-6f62-11ef-ab51-1cfd08767542" TargetMode="External"/><Relationship Id="rId_hyperlink_503" Type="http://schemas.openxmlformats.org/officeDocument/2006/relationships/hyperlink" Target="https://www.lavrpack.ru/catalog/?product=791c66be-6f61-11ef-ab51-1cfd08767542%232634d2c1-6f62-11ef-ab51-1cfd08767542" TargetMode="External"/><Relationship Id="rId_hyperlink_504" Type="http://schemas.openxmlformats.org/officeDocument/2006/relationships/hyperlink" Target="https://www.lavrpack.ru/catalog/?product=791c66be-6f61-11ef-ab51-1cfd08767542%232c9ac30e-6f62-11ef-ab51-1cfd08767542" TargetMode="External"/><Relationship Id="rId_hyperlink_505" Type="http://schemas.openxmlformats.org/officeDocument/2006/relationships/hyperlink" Target="https://www.lavrpack.ru/catalog/?product=2e2e2d1b-6f63-11ef-ab51-1cfd08767542%234e60699a-6f63-11ef-ab51-1cfd08767542" TargetMode="External"/><Relationship Id="rId_hyperlink_506" Type="http://schemas.openxmlformats.org/officeDocument/2006/relationships/hyperlink" Target="https://www.lavrpack.ru/catalog/?product=e7483fe5-6f63-11ef-ab51-1cfd08767542%23f29909b5-6f63-11ef-ab51-1cfd08767542" TargetMode="External"/><Relationship Id="rId_hyperlink_507" Type="http://schemas.openxmlformats.org/officeDocument/2006/relationships/hyperlink" Target="https://www.lavrpack.ru/catalog/?product=e7483fe5-6f63-11ef-ab51-1cfd08767542%23f8dff9c6-6f63-11ef-ab51-1cfd08767542" TargetMode="External"/><Relationship Id="rId_hyperlink_508" Type="http://schemas.openxmlformats.org/officeDocument/2006/relationships/hyperlink" Target="https://www.lavrpack.ru/catalog/?product=e7483fe5-6f63-11ef-ab51-1cfd08767542%23f8dff9d6-6f63-11ef-ab51-1cfd08767542" TargetMode="External"/><Relationship Id="rId_hyperlink_509" Type="http://schemas.openxmlformats.org/officeDocument/2006/relationships/hyperlink" Target="https://www.lavrpack.ru/catalog/?product=e7483fe5-6f63-11ef-ab51-1cfd08767542%230ca0d4fb-6f64-11ef-ab51-1cfd08767542" TargetMode="External"/><Relationship Id="rId_hyperlink_510" Type="http://schemas.openxmlformats.org/officeDocument/2006/relationships/hyperlink" Target="https://www.lavrpack.ru/catalog/?product=e7483fe5-6f63-11ef-ab51-1cfd08767542%23254c8036-6f64-11ef-ab51-1cfd08767542" TargetMode="External"/><Relationship Id="rId_hyperlink_511" Type="http://schemas.openxmlformats.org/officeDocument/2006/relationships/hyperlink" Target="https://www.lavrpack.ru/catalog/?product=e7483fe5-6f63-11ef-ab51-1cfd08767542%232e65d8f0-6f64-11ef-ab51-1cfd08767542" TargetMode="External"/><Relationship Id="rId_hyperlink_512" Type="http://schemas.openxmlformats.org/officeDocument/2006/relationships/hyperlink" Target="https://www.lavrpack.ru/catalog/?product=e7483fe5-6f63-11ef-ab51-1cfd08767542%233874c444-6f64-11ef-ab51-1cfd08767542" TargetMode="External"/><Relationship Id="rId_hyperlink_513" Type="http://schemas.openxmlformats.org/officeDocument/2006/relationships/hyperlink" Target="https://www.lavrpack.ru/catalog/?product=e7483fe5-6f63-11ef-ab51-1cfd08767542%23507731f9-6f64-11ef-ab51-1cfd08767542" TargetMode="External"/><Relationship Id="rId_hyperlink_514" Type="http://schemas.openxmlformats.org/officeDocument/2006/relationships/hyperlink" Target="https://www.lavrpack.ru/catalog/?product=e7483fe5-6f63-11ef-ab51-1cfd08767542%235775b7e9-6f64-11ef-ab51-1cfd08767542" TargetMode="External"/><Relationship Id="rId_hyperlink_515" Type="http://schemas.openxmlformats.org/officeDocument/2006/relationships/hyperlink" Target="https://www.lavrpack.ru/catalog/?product=424fbba1-6f65-11ef-ab51-1cfd08767542%2351ff0ea2-6f65-11ef-ab51-1cfd08767542" TargetMode="External"/><Relationship Id="rId_hyperlink_516" Type="http://schemas.openxmlformats.org/officeDocument/2006/relationships/hyperlink" Target="https://www.lavrpack.ru/catalog/?product=424fbba1-6f65-11ef-ab51-1cfd08767542%2361c5dd80-6f65-11ef-ab51-1cfd08767542" TargetMode="External"/><Relationship Id="rId_hyperlink_517" Type="http://schemas.openxmlformats.org/officeDocument/2006/relationships/hyperlink" Target="https://www.lavrpack.ru/catalog/?product=424fbba1-6f65-11ef-ab51-1cfd08767542%237b24633a-6f65-11ef-ab51-1cfd08767542" TargetMode="External"/><Relationship Id="rId_hyperlink_518" Type="http://schemas.openxmlformats.org/officeDocument/2006/relationships/hyperlink" Target="https://www.lavrpack.ru/catalog/?product=77514db5-6f6b-11ef-ab51-1cfd08767542%23adebc8f4-6f6b-11ef-ab51-1cfd08767542" TargetMode="External"/><Relationship Id="rId_hyperlink_519" Type="http://schemas.openxmlformats.org/officeDocument/2006/relationships/hyperlink" Target="https://www.lavrpack.ru/catalog/?product=77514db5-6f6b-11ef-ab51-1cfd08767542%23b557fa01-6f6b-11ef-ab51-1cfd08767542" TargetMode="External"/><Relationship Id="rId_hyperlink_520" Type="http://schemas.openxmlformats.org/officeDocument/2006/relationships/hyperlink" Target="https://www.lavrpack.ru/catalog/?product=77514db5-6f6b-11ef-ab51-1cfd08767542%23ce0d38cb-6f6b-11ef-ab51-1cfd08767542" TargetMode="External"/><Relationship Id="rId_hyperlink_521" Type="http://schemas.openxmlformats.org/officeDocument/2006/relationships/hyperlink" Target="https://www.lavrpack.ru/catalog/?product=77514db5-6f6b-11ef-ab51-1cfd08767542%23c7c6c379-6f6c-11ef-ab51-1cfd08767542" TargetMode="External"/><Relationship Id="rId_hyperlink_522" Type="http://schemas.openxmlformats.org/officeDocument/2006/relationships/hyperlink" Target="https://www.lavrpack.ru/catalog/?product=77514db5-6f6b-11ef-ab51-1cfd08767542%23118720f7-6f6d-11ef-ab51-1cfd08767542" TargetMode="External"/><Relationship Id="rId_hyperlink_523" Type="http://schemas.openxmlformats.org/officeDocument/2006/relationships/hyperlink" Target="https://www.lavrpack.ru/catalog/?product=77514db5-6f6b-11ef-ab51-1cfd08767542%2327aa5653-6f6d-11ef-ab51-1cfd08767542" TargetMode="External"/><Relationship Id="rId_hyperlink_524" Type="http://schemas.openxmlformats.org/officeDocument/2006/relationships/hyperlink" Target="https://www.lavrpack.ru/catalog/?product=71dd9ae5-7022-11ef-ab51-1cfd08767542%235a1dc467-7025-11ef-ab51-1cfd08767542" TargetMode="External"/><Relationship Id="rId_hyperlink_525" Type="http://schemas.openxmlformats.org/officeDocument/2006/relationships/hyperlink" Target="https://www.lavrpack.ru/catalog/?product=71dd9ae5-7022-11ef-ab51-1cfd08767542%23612cfb46-7025-11ef-ab51-1cfd08767542" TargetMode="External"/><Relationship Id="rId_hyperlink_526" Type="http://schemas.openxmlformats.org/officeDocument/2006/relationships/hyperlink" Target="https://www.lavrpack.ru/catalog/?product=71dd9ae5-7022-11ef-ab51-1cfd08767542%23823f39a4-7025-11ef-ab51-1cfd08767542" TargetMode="External"/><Relationship Id="rId_hyperlink_527" Type="http://schemas.openxmlformats.org/officeDocument/2006/relationships/hyperlink" Target="https://www.lavrpack.ru/catalog/?product=71dd9ae5-7022-11ef-ab51-1cfd08767542%2398f17c89-7025-11ef-ab51-1cfd08767542" TargetMode="External"/><Relationship Id="rId_hyperlink_528" Type="http://schemas.openxmlformats.org/officeDocument/2006/relationships/hyperlink" Target="https://www.lavrpack.ru/catalog/?product=71dd9ae5-7022-11ef-ab51-1cfd08767542%23a0817183-7025-11ef-ab51-1cfd08767542" TargetMode="External"/><Relationship Id="rId_hyperlink_529" Type="http://schemas.openxmlformats.org/officeDocument/2006/relationships/hyperlink" Target="https://www.lavrpack.ru/catalog/?product=71dd9ae5-7022-11ef-ab51-1cfd08767542%23b81d5980-7025-11ef-ab51-1cfd08767542" TargetMode="External"/><Relationship Id="rId_hyperlink_530" Type="http://schemas.openxmlformats.org/officeDocument/2006/relationships/hyperlink" Target="https://www.lavrpack.ru/catalog/?product=71dd9ae5-7022-11ef-ab51-1cfd08767542%230f233cfa-7026-11ef-ab51-1cfd08767542" TargetMode="External"/><Relationship Id="rId_hyperlink_531" Type="http://schemas.openxmlformats.org/officeDocument/2006/relationships/hyperlink" Target="https://www.lavrpack.ru/catalog/?product=71dd9ae5-7022-11ef-ab51-1cfd08767542%231974ea86-7026-11ef-ab51-1cfd08767542" TargetMode="External"/><Relationship Id="rId_hyperlink_532" Type="http://schemas.openxmlformats.org/officeDocument/2006/relationships/hyperlink" Target="https://www.lavrpack.ru/catalog/?product=71dd9ae5-7022-11ef-ab51-1cfd08767542%2327b97ce8-7026-11ef-ab51-1cfd08767542" TargetMode="External"/><Relationship Id="rId_hyperlink_533" Type="http://schemas.openxmlformats.org/officeDocument/2006/relationships/hyperlink" Target="https://www.lavrpack.ru/catalog/?product=5f3e231e-37ca-11f0-ab41-22344d083d2c%238c6279af-37ca-11f0-ab41-22344d083d2c" TargetMode="External"/><Relationship Id="rId_hyperlink_534" Type="http://schemas.openxmlformats.org/officeDocument/2006/relationships/hyperlink" Target="https://www.lavrpack.ru/catalog/?product=5f3e231e-37ca-11f0-ab41-22344d083d2c%2378bc5825-37ca-11f0-ab41-22344d083d2c" TargetMode="External"/><Relationship Id="rId_hyperlink_535" Type="http://schemas.openxmlformats.org/officeDocument/2006/relationships/hyperlink" Target="https://www.lavrpack.ru/catalog/?product=5fbe2640-714a-11ed-bb4b-00e01a6800eb" TargetMode="External"/><Relationship Id="rId_hyperlink_536" Type="http://schemas.openxmlformats.org/officeDocument/2006/relationships/hyperlink" Target="https://www.lavrpack.ru/catalog/?product=fed6c82f-7146-11ed-bb4b-00e01a6800eb" TargetMode="External"/><Relationship Id="rId_hyperlink_537" Type="http://schemas.openxmlformats.org/officeDocument/2006/relationships/hyperlink" Target="https://www.lavrpack.ru/catalog/?product=ae5e9a3d-714a-11ed-bb4b-00e01a6800eb" TargetMode="External"/><Relationship Id="rId_hyperlink_538" Type="http://schemas.openxmlformats.org/officeDocument/2006/relationships/hyperlink" Target="https://www.lavrpack.ru/catalog/?product=8627f8b4-714b-11ed-bb4b-00e01a6800eb" TargetMode="External"/><Relationship Id="rId_hyperlink_539" Type="http://schemas.openxmlformats.org/officeDocument/2006/relationships/hyperlink" Target="https://www.lavrpack.ru/catalog/?product=b0340727-714b-11ed-bb4b-00e01a6800eb" TargetMode="External"/><Relationship Id="rId_hyperlink_540" Type="http://schemas.openxmlformats.org/officeDocument/2006/relationships/hyperlink" Target="https://www.lavrpack.ru/catalog/?product=0070499b-714c-11ed-bb4b-00e01a6800eb" TargetMode="External"/><Relationship Id="rId_hyperlink_541" Type="http://schemas.openxmlformats.org/officeDocument/2006/relationships/hyperlink" Target="https://www.lavrpack.ru/catalog/?product=1a6d8420-7151-11ed-bb4b-00e01a6800eb" TargetMode="External"/><Relationship Id="rId_hyperlink_542" Type="http://schemas.openxmlformats.org/officeDocument/2006/relationships/hyperlink" Target="https://www.lavrpack.ru/catalog/?product=a8797a4f-197a-11ee-8f7e-00e01a6800eb" TargetMode="External"/><Relationship Id="rId_hyperlink_543" Type="http://schemas.openxmlformats.org/officeDocument/2006/relationships/hyperlink" Target="https://www.lavrpack.ru/catalog/?product=e3bc1179-714b-11ed-bb4b-00e01a6800eb" TargetMode="External"/><Relationship Id="rId_hyperlink_544" Type="http://schemas.openxmlformats.org/officeDocument/2006/relationships/hyperlink" Target="https://www.lavrpack.ru/catalog/?product=dc9f2962-7150-11ed-bb4b-00e01a6800eb" TargetMode="External"/><Relationship Id="rId_hyperlink_545" Type="http://schemas.openxmlformats.org/officeDocument/2006/relationships/hyperlink" Target="https://www.lavrpack.ru/catalog/?product=ad814ebc-714f-11ed-bb4b-00e01a6800eb" TargetMode="External"/><Relationship Id="rId_hyperlink_546" Type="http://schemas.openxmlformats.org/officeDocument/2006/relationships/hyperlink" Target="https://www.lavrpack.ru/catalog/?product=f5647af4-7150-11ed-bb4b-00e01a6800eb" TargetMode="External"/><Relationship Id="rId_hyperlink_547" Type="http://schemas.openxmlformats.org/officeDocument/2006/relationships/hyperlink" Target="https://www.lavrpack.ru/catalog/?product=33950e04-703d-11ef-ab51-1cfd08767542%23450904e1-703d-11ef-ab51-1cfd08767542" TargetMode="External"/><Relationship Id="rId_hyperlink_548" Type="http://schemas.openxmlformats.org/officeDocument/2006/relationships/hyperlink" Target="https://www.lavrpack.ru/catalog/?product=33950e04-703d-11ef-ab51-1cfd08767542%234bc72a6b-703d-11ef-ab51-1cfd08767542" TargetMode="External"/><Relationship Id="rId_hyperlink_549" Type="http://schemas.openxmlformats.org/officeDocument/2006/relationships/hyperlink" Target="https://www.lavrpack.ru/catalog/?product=33950e04-703d-11ef-ab51-1cfd08767542%235cfac266-703d-11ef-ab51-1cfd08767542" TargetMode="External"/><Relationship Id="rId_hyperlink_550" Type="http://schemas.openxmlformats.org/officeDocument/2006/relationships/hyperlink" Target="https://www.lavrpack.ru/catalog/?product=33950e04-703d-11ef-ab51-1cfd08767542%235cfac276-703d-11ef-ab51-1cfd08767542" TargetMode="External"/><Relationship Id="rId_hyperlink_551" Type="http://schemas.openxmlformats.org/officeDocument/2006/relationships/hyperlink" Target="https://www.lavrpack.ru/catalog/?product=33950e04-703d-11ef-ab51-1cfd08767542%236c5fd1b5-703d-11ef-ab51-1cfd08767542" TargetMode="External"/><Relationship Id="rId_hyperlink_552" Type="http://schemas.openxmlformats.org/officeDocument/2006/relationships/hyperlink" Target="https://www.lavrpack.ru/catalog/?product=5f66fca0-703e-11ef-ab51-1cfd08767542%236c26ef21-703e-11ef-ab51-1cfd08767542" TargetMode="External"/><Relationship Id="rId_hyperlink_553" Type="http://schemas.openxmlformats.org/officeDocument/2006/relationships/hyperlink" Target="https://www.lavrpack.ru/catalog/?product=5f66fca0-703e-11ef-ab51-1cfd08767542%23891436e7-703e-11ef-ab51-1cfd08767542" TargetMode="External"/><Relationship Id="rId_hyperlink_554" Type="http://schemas.openxmlformats.org/officeDocument/2006/relationships/hyperlink" Target="https://www.lavrpack.ru/catalog/?product=5f66fca0-703e-11ef-ab51-1cfd08767542%2390d8a0db-703e-11ef-ab51-1cfd08767542" TargetMode="External"/><Relationship Id="rId_hyperlink_555" Type="http://schemas.openxmlformats.org/officeDocument/2006/relationships/hyperlink" Target="https://www.lavrpack.ru/catalog/?product=5f66fca0-703e-11ef-ab51-1cfd08767542%239770a059-703e-11ef-ab51-1cfd08767542" TargetMode="External"/><Relationship Id="rId_hyperlink_556" Type="http://schemas.openxmlformats.org/officeDocument/2006/relationships/hyperlink" Target="https://www.lavrpack.ru/catalog/?product=5f66fca0-703e-11ef-ab51-1cfd08767542%23a25fa812-703e-11ef-ab51-1cfd08767542" TargetMode="External"/><Relationship Id="rId_hyperlink_557" Type="http://schemas.openxmlformats.org/officeDocument/2006/relationships/hyperlink" Target="https://www.lavrpack.ru/catalog/?product=5f66fca0-703e-11ef-ab51-1cfd08767542%23a8a43737-703e-11ef-ab51-1cfd08767542" TargetMode="External"/><Relationship Id="rId_hyperlink_558" Type="http://schemas.openxmlformats.org/officeDocument/2006/relationships/hyperlink" Target="https://www.lavrpack.ru/catalog/?product=5f66fca0-703e-11ef-ab51-1cfd08767542%23b0f085d7-703e-11ef-ab51-1cfd08767542" TargetMode="External"/><Relationship Id="rId_hyperlink_559" Type="http://schemas.openxmlformats.org/officeDocument/2006/relationships/hyperlink" Target="https://www.lavrpack.ru/catalog/?product=5f66fca0-703e-11ef-ab51-1cfd08767542%23b7de5ae4-703e-11ef-ab51-1cfd08767542" TargetMode="External"/><Relationship Id="rId_hyperlink_560" Type="http://schemas.openxmlformats.org/officeDocument/2006/relationships/hyperlink" Target="https://www.lavrpack.ru/catalog/?product=5f66fca0-703e-11ef-ab51-1cfd08767542%23be60e79f-703e-11ef-ab51-1cfd08767542" TargetMode="External"/><Relationship Id="rId_hyperlink_561" Type="http://schemas.openxmlformats.org/officeDocument/2006/relationships/hyperlink" Target="https://www.lavrpack.ru/catalog/?product=5f66fca0-703e-11ef-ab51-1cfd08767542%23c7056d89-703e-11ef-ab51-1cfd08767542" TargetMode="External"/><Relationship Id="rId_hyperlink_562" Type="http://schemas.openxmlformats.org/officeDocument/2006/relationships/hyperlink" Target="https://www.lavrpack.ru/catalog/?product=5f66fca0-703e-11ef-ab51-1cfd08767542%23cfa9f3ce-703e-11ef-ab51-1cfd08767542" TargetMode="External"/><Relationship Id="rId_hyperlink_563" Type="http://schemas.openxmlformats.org/officeDocument/2006/relationships/hyperlink" Target="https://www.lavrpack.ru/catalog/?product=5f66fca0-703e-11ef-ab51-1cfd08767542%23cfa9f3de-703e-11ef-ab51-1cfd08767542" TargetMode="External"/><Relationship Id="rId_hyperlink_564" Type="http://schemas.openxmlformats.org/officeDocument/2006/relationships/hyperlink" Target="https://www.lavrpack.ru/catalog/?product=bc071cf7-7042-11ef-ab51-1cfd08767542%231870170f-70c7-11ef-ab51-1cfd08767542" TargetMode="External"/><Relationship Id="rId_hyperlink_565" Type="http://schemas.openxmlformats.org/officeDocument/2006/relationships/hyperlink" Target="https://www.lavrpack.ru/catalog/?product=bc071cf7-7042-11ef-ab51-1cfd08767542%2324a82426-70c7-11ef-ab51-1cfd08767542" TargetMode="External"/><Relationship Id="rId_hyperlink_566" Type="http://schemas.openxmlformats.org/officeDocument/2006/relationships/hyperlink" Target="https://www.lavrpack.ru/catalog/?product=6a2769ef-70c8-11ef-ab51-1cfd08767542%23804116ad-70c8-11ef-ab51-1cfd08767542" TargetMode="External"/><Relationship Id="rId_hyperlink_567" Type="http://schemas.openxmlformats.org/officeDocument/2006/relationships/hyperlink" Target="https://www.lavrpack.ru/catalog/?product=c336ab0b-37cc-11f0-ab41-22344d083d2c%2335cb9f78-37cd-11f0-ab41-22344d083d2c" TargetMode="External"/><Relationship Id="rId_hyperlink_568" Type="http://schemas.openxmlformats.org/officeDocument/2006/relationships/hyperlink" Target="https://www.lavrpack.ru/catalog/?product=c336ab0b-37cc-11f0-ab41-22344d083d2c%2302aa4020-37cd-11f0-ab41-22344d083d2c" TargetMode="External"/><Relationship Id="rId_hyperlink_569" Type="http://schemas.openxmlformats.org/officeDocument/2006/relationships/hyperlink" Target="https://www.lavrpack.ru/catalog/?product=c336ab0b-37cc-11f0-ab41-22344d083d2c%230fce0b4d-37cd-11f0-ab41-22344d083d2c" TargetMode="External"/><Relationship Id="rId_hyperlink_570" Type="http://schemas.openxmlformats.org/officeDocument/2006/relationships/hyperlink" Target="https://www.lavrpack.ru/catalog/?product=c336ab0b-37cc-11f0-ab41-22344d083d2c%231c065125-37cd-11f0-ab41-22344d083d2c" TargetMode="External"/><Relationship Id="rId_hyperlink_571" Type="http://schemas.openxmlformats.org/officeDocument/2006/relationships/hyperlink" Target="https://www.lavrpack.ru/catalog/?product=c336ab0b-37cc-11f0-ab41-22344d083d2c%23e25f9642-37cc-11f0-ab41-22344d083d2c" TargetMode="External"/><Relationship Id="rId_hyperlink_572" Type="http://schemas.openxmlformats.org/officeDocument/2006/relationships/hyperlink" Target="https://www.lavrpack.ru/catalog/?product=c336ab0b-37cc-11f0-ab41-22344d083d2c%23fc3d22fb-37cc-11f0-ab41-22344d083d2c" TargetMode="External"/><Relationship Id="rId_hyperlink_573" Type="http://schemas.openxmlformats.org/officeDocument/2006/relationships/hyperlink" Target="https://www.lavrpack.ru/catalog/?product=c336ab0b-37cc-11f0-ab41-22344d083d2c%23292b4110-37cd-11f0-ab41-22344d083d2c" TargetMode="External"/><Relationship Id="rId_hyperlink_574" Type="http://schemas.openxmlformats.org/officeDocument/2006/relationships/hyperlink" Target="https://www.lavrpack.ru/catalog/?product=d7ae71d9-37ce-11f0-ab41-22344d083d2c%23feaeb976-37ce-11f0-ab41-22344d083d2c" TargetMode="External"/><Relationship Id="rId_hyperlink_575" Type="http://schemas.openxmlformats.org/officeDocument/2006/relationships/hyperlink" Target="https://www.lavrpack.ru/catalog/?product=924fefbd-7165-11ed-bb4b-00e01a6800eb" TargetMode="External"/><Relationship Id="rId_hyperlink_576" Type="http://schemas.openxmlformats.org/officeDocument/2006/relationships/hyperlink" Target="https://www.lavrpack.ru/catalog/?product=14f04ac5-70c9-11ef-ab51-1cfd08767542%232b517d0b-70c9-11ef-ab51-1cfd08767542" TargetMode="External"/><Relationship Id="rId_hyperlink_577" Type="http://schemas.openxmlformats.org/officeDocument/2006/relationships/hyperlink" Target="https://www.lavrpack.ru/catalog/?product=14f04ac5-70c9-11ef-ab51-1cfd08767542%2368bf922a-70c9-11ef-ab51-1cfd08767542" TargetMode="External"/><Relationship Id="rId_hyperlink_578" Type="http://schemas.openxmlformats.org/officeDocument/2006/relationships/hyperlink" Target="https://www.lavrpack.ru/catalog/?product=14f04ac5-70c9-11ef-ab51-1cfd08767542%2388d051ac-70c9-11ef-ab51-1cfd08767542" TargetMode="External"/><Relationship Id="rId_hyperlink_579" Type="http://schemas.openxmlformats.org/officeDocument/2006/relationships/hyperlink" Target="https://www.lavrpack.ru/catalog/?product=14f04ac5-70c9-11ef-ab51-1cfd08767542%23a409499b-70c9-11ef-ab51-1cfd08767542" TargetMode="External"/><Relationship Id="rId_hyperlink_580" Type="http://schemas.openxmlformats.org/officeDocument/2006/relationships/hyperlink" Target="https://www.lavrpack.ru/catalog/?product=14f04ac5-70c9-11ef-ab51-1cfd08767542%23c5cc19e7-70c9-11ef-ab51-1cfd08767542" TargetMode="External"/><Relationship Id="rId_hyperlink_581" Type="http://schemas.openxmlformats.org/officeDocument/2006/relationships/hyperlink" Target="https://www.lavrpack.ru/catalog/?product=14f04ac5-70c9-11ef-ab51-1cfd08767542%23c5cc19f7-70c9-11ef-ab51-1cfd08767542" TargetMode="External"/><Relationship Id="rId_hyperlink_582" Type="http://schemas.openxmlformats.org/officeDocument/2006/relationships/hyperlink" Target="https://www.lavrpack.ru/catalog/?product=14f04ac5-70c9-11ef-ab51-1cfd08767542%23cd0172e5-70c9-11ef-ab51-1cfd08767542" TargetMode="External"/><Relationship Id="rId_hyperlink_583" Type="http://schemas.openxmlformats.org/officeDocument/2006/relationships/hyperlink" Target="https://www.lavrpack.ru/catalog/?product=0c009b9b-70cb-11ef-ab51-1cfd08767542%232274e198-70cb-11ef-ab51-1cfd08767542" TargetMode="External"/><Relationship Id="rId_hyperlink_584" Type="http://schemas.openxmlformats.org/officeDocument/2006/relationships/hyperlink" Target="https://www.lavrpack.ru/catalog/?product=0c009b9b-70cb-11ef-ab51-1cfd08767542%23298b3e9c-70cb-11ef-ab51-1cfd08767542" TargetMode="External"/><Relationship Id="rId_hyperlink_585" Type="http://schemas.openxmlformats.org/officeDocument/2006/relationships/hyperlink" Target="https://www.lavrpack.ru/catalog/?product=0c009b9b-70cb-11ef-ab51-1cfd08767542%233fbcc2ab-70cb-11ef-ab51-1cfd08767542" TargetMode="External"/><Relationship Id="rId_hyperlink_586" Type="http://schemas.openxmlformats.org/officeDocument/2006/relationships/hyperlink" Target="https://www.lavrpack.ru/catalog/?product=0c009b9b-70cb-11ef-ab51-1cfd08767542%234673c133-70cb-11ef-ab51-1cfd08767542" TargetMode="External"/><Relationship Id="rId_hyperlink_587" Type="http://schemas.openxmlformats.org/officeDocument/2006/relationships/hyperlink" Target="https://www.lavrpack.ru/catalog/?product=0c009b9b-70cb-11ef-ab51-1cfd08767542%234c948d8c-70cb-11ef-ab51-1cfd08767542" TargetMode="External"/><Relationship Id="rId_hyperlink_588" Type="http://schemas.openxmlformats.org/officeDocument/2006/relationships/hyperlink" Target="https://www.lavrpack.ru/catalog/?product=b80b8d36-8fa7-11f0-ab48-22344d083d2c%23ecefede8-8fa7-11f0-ab48-22344d083d2c" TargetMode="External"/><Relationship Id="rId_hyperlink_589" Type="http://schemas.openxmlformats.org/officeDocument/2006/relationships/hyperlink" Target="https://www.lavrpack.ru/catalog/?product=e0761ea9-e8dc-11ed-8488-00e01a6800eb" TargetMode="External"/><Relationship Id="rId_hyperlink_590" Type="http://schemas.openxmlformats.org/officeDocument/2006/relationships/hyperlink" Target="https://www.lavrpack.ru/catalog/?product=277c0dd0-7152-11ed-bb4b-00e01a6800eb" TargetMode="External"/><Relationship Id="rId_hyperlink_591" Type="http://schemas.openxmlformats.org/officeDocument/2006/relationships/hyperlink" Target="https://www.lavrpack.ru/catalog/?product=94697ee1-1985-11ee-8f7e-00e01a6800eb%239cbbee76-1985-11ee-8f7e-00e01a6800eb" TargetMode="External"/><Relationship Id="rId_hyperlink_592" Type="http://schemas.openxmlformats.org/officeDocument/2006/relationships/hyperlink" Target="https://www.lavrpack.ru/catalog/?product=ed5ed2d5-37c7-11f0-ab41-22344d083d2c%230ea28bfc-37c8-11f0-ab41-22344d083d2c" TargetMode="External"/><Relationship Id="rId_hyperlink_593" Type="http://schemas.openxmlformats.org/officeDocument/2006/relationships/hyperlink" Target="https://www.lavrpack.ru/catalog/?product=c3bf707e-64fa-11ef-ab51-1cfd08767542%23d58b972b-64fa-11ef-ab51-1cfd08767542" TargetMode="External"/><Relationship Id="rId_hyperlink_594" Type="http://schemas.openxmlformats.org/officeDocument/2006/relationships/hyperlink" Target="https://www.lavrpack.ru/catalog/?product=bd3495de-8fa5-11f0-ab48-22344d083d2c%230bd93c0a-8fa6-11f0-ab48-22344d083d2c" TargetMode="External"/><Relationship Id="rId_hyperlink_595" Type="http://schemas.openxmlformats.org/officeDocument/2006/relationships/hyperlink" Target="https://www.lavrpack.ru/catalog/?product=bd3495de-8fa5-11f0-ab48-22344d083d2c%2318406758-8fa6-11f0-ab48-22344d083d2c" TargetMode="External"/><Relationship Id="rId_hyperlink_596" Type="http://schemas.openxmlformats.org/officeDocument/2006/relationships/hyperlink" Target="https://www.lavrpack.ru/catalog/?product=bd3495de-8fa5-11f0-ab48-22344d083d2c%23eb0a81f9-8fa5-11f0-ab48-22344d083d2c" TargetMode="External"/><Relationship Id="rId_hyperlink_597" Type="http://schemas.openxmlformats.org/officeDocument/2006/relationships/hyperlink" Target="https://www.lavrpack.ru/catalog/?product=bd3495de-8fa5-11f0-ab48-22344d083d2c%232446b9b1-8fa6-11f0-ab48-22344d083d2c" TargetMode="External"/><Relationship Id="rId_hyperlink_598" Type="http://schemas.openxmlformats.org/officeDocument/2006/relationships/hyperlink" Target="https://www.lavrpack.ru/catalog/?product=bd3495de-8fa5-11f0-ab48-22344d083d2c%23f7f50cbc-8fa5-11f0-ab48-22344d083d2c" TargetMode="External"/><Relationship Id="rId_hyperlink_599" Type="http://schemas.openxmlformats.org/officeDocument/2006/relationships/hyperlink" Target="https://www.lavrpack.ru/catalog/?product=bd3495de-8fa5-11f0-ab48-22344d083d2c%23d7e77dd0-8fa5-11f0-ab48-22344d083d2c" TargetMode="External"/><Relationship Id="rId_hyperlink_600" Type="http://schemas.openxmlformats.org/officeDocument/2006/relationships/hyperlink" Target="https://www.lavrpack.ru/catalog/?product=8b052f8e-8fb0-11f0-ab48-22344d083d2c%23a45cac23-8fb0-11f0-ab48-22344d083d2c" TargetMode="External"/><Relationship Id="rId_hyperlink_601" Type="http://schemas.openxmlformats.org/officeDocument/2006/relationships/hyperlink" Target="https://www.lavrpack.ru/catalog/?product=8b052f8e-8fb0-11f0-ab48-22344d083d2c%2397d97af4-8fb0-11f0-ab48-22344d083d2c" TargetMode="External"/><Relationship Id="rId_hyperlink_602" Type="http://schemas.openxmlformats.org/officeDocument/2006/relationships/hyperlink" Target="https://www.lavrpack.ru/catalog/?product=e74440a3-338c-11ef-843e-00e01a6800eb%23f435bc30-338c-11ef-843e-00e01a6800eb" TargetMode="External"/><Relationship Id="rId_hyperlink_603" Type="http://schemas.openxmlformats.org/officeDocument/2006/relationships/hyperlink" Target="https://www.lavrpack.ru/catalog/?product=e74440a3-338c-11ef-843e-00e01a6800eb%23ee0467aa-338c-11ef-843e-00e01a6800eb" TargetMode="External"/><Relationship Id="rId_hyperlink_604" Type="http://schemas.openxmlformats.org/officeDocument/2006/relationships/hyperlink" Target="https://www.lavrpack.ru/catalog/?product=e74440a3-338c-11ef-843e-00e01a6800eb%23ee0467ba-338c-11ef-843e-00e01a6800eb" TargetMode="External"/><Relationship Id="rId_hyperlink_605" Type="http://schemas.openxmlformats.org/officeDocument/2006/relationships/hyperlink" Target="https://www.lavrpack.ru/catalog/?product=7ed3e0c2-338c-11ef-843e-00e01a6800eb%238b935f44-338c-11ef-843e-00e01a6800eb" TargetMode="External"/><Relationship Id="rId_hyperlink_606" Type="http://schemas.openxmlformats.org/officeDocument/2006/relationships/hyperlink" Target="https://www.lavrpack.ru/catalog/?product=7ed3e0c2-338c-11ef-843e-00e01a6800eb%23933ccd17-338c-11ef-843e-00e01a6800eb" TargetMode="External"/><Relationship Id="rId_hyperlink_607" Type="http://schemas.openxmlformats.org/officeDocument/2006/relationships/hyperlink" Target="https://www.lavrpack.ru/catalog/?product=7ed3e0c2-338c-11ef-843e-00e01a6800eb%238502d3c3-338c-11ef-843e-00e01a6800eb" TargetMode="External"/><Relationship Id="rId_hyperlink_608" Type="http://schemas.openxmlformats.org/officeDocument/2006/relationships/hyperlink" Target="https://www.lavrpack.ru/catalog/?product=f967df71-338b-11ef-843e-00e01a6800eb%2318af747c-338c-11ef-843e-00e01a6800eb" TargetMode="External"/><Relationship Id="rId_hyperlink_609" Type="http://schemas.openxmlformats.org/officeDocument/2006/relationships/hyperlink" Target="https://www.lavrpack.ru/catalog/?product=f967df71-338b-11ef-843e-00e01a6800eb%23121ee8fa-338c-11ef-843e-00e01a6800eb" TargetMode="External"/><Relationship Id="rId_hyperlink_610" Type="http://schemas.openxmlformats.org/officeDocument/2006/relationships/hyperlink" Target="https://www.lavrpack.ru/catalog/?product=f967df71-338b-11ef-843e-00e01a6800eb%231ee0c8f2-338c-11ef-843e-00e01a6800eb" TargetMode="External"/><Relationship Id="rId_hyperlink_611" Type="http://schemas.openxmlformats.org/officeDocument/2006/relationships/hyperlink" Target="https://www.lavrpack.ru/catalog/?product=35d30f1f-338b-11ef-843e-00e01a6800eb%2352932dee-338b-11ef-843e-00e01a6800eb" TargetMode="External"/><Relationship Id="rId_hyperlink_612" Type="http://schemas.openxmlformats.org/officeDocument/2006/relationships/hyperlink" Target="https://www.lavrpack.ru/catalog/?product=35d30f1f-338b-11ef-843e-00e01a6800eb%234c4a0bb5-338b-11ef-843e-00e01a6800eb" TargetMode="External"/><Relationship Id="rId_hyperlink_613" Type="http://schemas.openxmlformats.org/officeDocument/2006/relationships/hyperlink" Target="https://www.lavrpack.ru/catalog/?product=35d30f1f-338b-11ef-843e-00e01a6800eb%236e30e4ec-338b-11ef-843e-00e01a6800eb" TargetMode="External"/><Relationship Id="rId_hyperlink_614" Type="http://schemas.openxmlformats.org/officeDocument/2006/relationships/hyperlink" Target="https://www.lavrpack.ru/catalog/?product=f4182574-fc24-11ec-8757-00e01a6800eb" TargetMode="External"/><Relationship Id="rId_hyperlink_615" Type="http://schemas.openxmlformats.org/officeDocument/2006/relationships/hyperlink" Target="https://www.lavrpack.ru/catalog/?product=e22f679c-fc24-11ec-8757-00e01a6800eb" TargetMode="External"/><Relationship Id="rId_hyperlink_616" Type="http://schemas.openxmlformats.org/officeDocument/2006/relationships/hyperlink" Target="https://www.lavrpack.ru/catalog/?product=465fefc6-647a-11ef-ab51-1cfd08767542%236a6abc79-647a-11ef-ab51-1cfd0876754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627"/>
  <sheetViews>
    <sheetView tabSelected="1" workbookViewId="0" showGridLines="true" showRowColHeaders="1">
      <pane ySplit="6" activePane="bottomLeft" state="frozen" topLeftCell="A7"/>
      <selection pane="bottomLeft" activeCell="M7" sqref="M7:M62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IF($G$3="","",SUMPRODUCT(--ISNUMBER(SEARCH($G$3,$B$7:$B$623&amp;" "&amp;$C$7:$C$623&amp;" "&amp;$D$7:$D$623&amp;" "&amp;$E$7:$E$623)))&amp;"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1867</v>
      </c>
      <c r="P6" s="40" t="s">
        <v>1868</v>
      </c>
      <c r="Q6" s="40" t="s">
        <v>1869</v>
      </c>
      <c r="R6" s="40" t="s">
        <v>1870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1086.0</v>
      </c>
      <c r="J8" s="22">
        <v>12.0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29</v>
      </c>
      <c r="E9" s="17" t="s">
        <v>35</v>
      </c>
      <c r="F9" s="19"/>
      <c r="G9" s="20">
        <v>1.0</v>
      </c>
      <c r="H9" s="21"/>
      <c r="I9" s="21">
        <v>619.0</v>
      </c>
      <c r="J9" s="22">
        <v>15.0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39</v>
      </c>
      <c r="D10" s="17" t="s">
        <v>40</v>
      </c>
      <c r="E10" s="17" t="s">
        <v>35</v>
      </c>
      <c r="F10" s="19"/>
      <c r="G10" s="20">
        <v>1.0</v>
      </c>
      <c r="H10" s="21"/>
      <c r="I10" s="21">
        <v>971.0</v>
      </c>
      <c r="J10" s="22">
        <v>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41</v>
      </c>
      <c r="P10" t="s">
        <v>37</v>
      </c>
      <c r="Q10" t="s">
        <v>37</v>
      </c>
    </row>
    <row r="11" spans="1:18" customHeight="1" ht="58">
      <c r="A11" s="16"/>
      <c r="B11" s="18" t="s">
        <v>43</v>
      </c>
      <c r="C11" s="17" t="s">
        <v>44</v>
      </c>
      <c r="D11" s="17"/>
      <c r="E11" s="17"/>
      <c r="F11" s="19"/>
      <c r="G11" s="20">
        <v>1.0</v>
      </c>
      <c r="H11" s="21"/>
      <c r="I11" s="21">
        <v>1416.0</v>
      </c>
      <c r="J11" s="22">
        <v>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45</v>
      </c>
      <c r="P11" t="s">
        <v>42</v>
      </c>
      <c r="Q11" t="s">
        <v>42</v>
      </c>
    </row>
    <row r="12" spans="1:18" customHeight="1" ht="58">
      <c r="A12" s="16"/>
      <c r="B12" s="18" t="s">
        <v>47</v>
      </c>
      <c r="C12" s="17" t="s">
        <v>48</v>
      </c>
      <c r="D12" s="17"/>
      <c r="E12" s="17"/>
      <c r="F12" s="19"/>
      <c r="G12" s="20">
        <v>1.0</v>
      </c>
      <c r="H12" s="21"/>
      <c r="I12" s="21">
        <v>850.0</v>
      </c>
      <c r="J12" s="22">
        <v>1.0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49</v>
      </c>
      <c r="P12" t="s">
        <v>46</v>
      </c>
      <c r="Q12" t="s">
        <v>46</v>
      </c>
    </row>
    <row r="13" spans="1:18" customHeight="1" ht="58">
      <c r="A13" s="16"/>
      <c r="B13" s="18" t="s">
        <v>51</v>
      </c>
      <c r="C13" s="17" t="s">
        <v>52</v>
      </c>
      <c r="D13" s="17" t="s">
        <v>53</v>
      </c>
      <c r="E13" s="17" t="s">
        <v>54</v>
      </c>
      <c r="F13" s="19"/>
      <c r="G13" s="20">
        <v>1.0</v>
      </c>
      <c r="H13" s="21"/>
      <c r="I13" s="21">
        <v>693.0</v>
      </c>
      <c r="J13" s="22">
        <v>10.0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55</v>
      </c>
      <c r="P13" t="s">
        <v>50</v>
      </c>
      <c r="Q13" t="s">
        <v>50</v>
      </c>
    </row>
    <row r="14" spans="1:18" customHeight="1" ht="58">
      <c r="A14" s="16"/>
      <c r="B14" s="18" t="s">
        <v>57</v>
      </c>
      <c r="C14" s="17" t="s">
        <v>52</v>
      </c>
      <c r="D14" s="17" t="s">
        <v>53</v>
      </c>
      <c r="E14" s="17" t="s">
        <v>58</v>
      </c>
      <c r="F14" s="19"/>
      <c r="G14" s="20">
        <v>1.0</v>
      </c>
      <c r="H14" s="21"/>
      <c r="I14" s="21">
        <v>693.0</v>
      </c>
      <c r="J14" s="22">
        <v>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59</v>
      </c>
      <c r="P14" t="s">
        <v>56</v>
      </c>
      <c r="Q14" t="s">
        <v>56</v>
      </c>
    </row>
    <row r="15" spans="1:18" customHeight="1" ht="58">
      <c r="A15" s="16"/>
      <c r="B15" s="18" t="s">
        <v>61</v>
      </c>
      <c r="C15" s="17" t="s">
        <v>52</v>
      </c>
      <c r="D15" s="17" t="s">
        <v>53</v>
      </c>
      <c r="E15" s="17" t="s">
        <v>62</v>
      </c>
      <c r="F15" s="19"/>
      <c r="G15" s="20">
        <v>1.0</v>
      </c>
      <c r="H15" s="21"/>
      <c r="I15" s="21">
        <v>693.0</v>
      </c>
      <c r="J15" s="22">
        <v>2.0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63</v>
      </c>
      <c r="P15" t="s">
        <v>60</v>
      </c>
      <c r="Q15" t="s">
        <v>60</v>
      </c>
    </row>
    <row r="16" spans="1:18" customHeight="1" ht="58">
      <c r="A16" s="16"/>
      <c r="B16" s="18" t="s">
        <v>65</v>
      </c>
      <c r="C16" s="17" t="s">
        <v>52</v>
      </c>
      <c r="D16" s="17" t="s">
        <v>53</v>
      </c>
      <c r="E16" s="17" t="s">
        <v>66</v>
      </c>
      <c r="F16" s="19"/>
      <c r="G16" s="20">
        <v>1.0</v>
      </c>
      <c r="H16" s="21"/>
      <c r="I16" s="21">
        <v>328.0</v>
      </c>
      <c r="J16" s="22">
        <v>10.0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67</v>
      </c>
      <c r="P16" t="s">
        <v>64</v>
      </c>
      <c r="Q16" t="s">
        <v>64</v>
      </c>
    </row>
    <row r="17" spans="1:18" customHeight="1" ht="58">
      <c r="A17" s="16"/>
      <c r="B17" s="18" t="s">
        <v>69</v>
      </c>
      <c r="C17" s="17" t="s">
        <v>52</v>
      </c>
      <c r="D17" s="17" t="s">
        <v>70</v>
      </c>
      <c r="E17" s="17" t="s">
        <v>71</v>
      </c>
      <c r="F17" s="19"/>
      <c r="G17" s="20">
        <v>1.0</v>
      </c>
      <c r="H17" s="21"/>
      <c r="I17" s="21">
        <v>134.0</v>
      </c>
      <c r="J17" s="22">
        <v>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72</v>
      </c>
      <c r="P17" t="s">
        <v>68</v>
      </c>
      <c r="Q17" t="s">
        <v>68</v>
      </c>
    </row>
    <row r="18" spans="1:18" customHeight="1" ht="58">
      <c r="A18" s="16"/>
      <c r="B18" s="18" t="s">
        <v>74</v>
      </c>
      <c r="C18" s="17" t="s">
        <v>75</v>
      </c>
      <c r="D18" s="17" t="s">
        <v>76</v>
      </c>
      <c r="E18" s="17" t="s">
        <v>77</v>
      </c>
      <c r="F18" s="19"/>
      <c r="G18" s="20">
        <v>1.0</v>
      </c>
      <c r="H18" s="21"/>
      <c r="I18" s="21">
        <v>272.0</v>
      </c>
      <c r="J18" s="22">
        <v>5.0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78</v>
      </c>
      <c r="P18" t="s">
        <v>73</v>
      </c>
      <c r="Q18" t="s">
        <v>73</v>
      </c>
    </row>
    <row r="19" spans="1:18" customHeight="1" ht="58">
      <c r="A19" s="16"/>
      <c r="B19" s="18" t="s">
        <v>74</v>
      </c>
      <c r="C19" s="17" t="s">
        <v>75</v>
      </c>
      <c r="D19" s="17" t="s">
        <v>80</v>
      </c>
      <c r="E19" s="17" t="s">
        <v>77</v>
      </c>
      <c r="F19" s="19"/>
      <c r="G19" s="20">
        <v>1.0</v>
      </c>
      <c r="H19" s="21"/>
      <c r="I19" s="21">
        <v>272.0</v>
      </c>
      <c r="J19" s="22">
        <v>1.0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81</v>
      </c>
      <c r="P19" t="s">
        <v>79</v>
      </c>
      <c r="Q19" t="s">
        <v>79</v>
      </c>
    </row>
    <row r="20" spans="1:18" customHeight="1" ht="58">
      <c r="A20" s="16"/>
      <c r="B20" s="18" t="s">
        <v>83</v>
      </c>
      <c r="C20" s="17" t="s">
        <v>84</v>
      </c>
      <c r="D20" s="17" t="s">
        <v>85</v>
      </c>
      <c r="E20" s="17" t="s">
        <v>86</v>
      </c>
      <c r="F20" s="19"/>
      <c r="G20" s="20">
        <v>1.0</v>
      </c>
      <c r="H20" s="21"/>
      <c r="I20" s="21">
        <v>151.0</v>
      </c>
      <c r="J20" s="22">
        <v>30.0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87</v>
      </c>
      <c r="P20" t="s">
        <v>82</v>
      </c>
      <c r="Q20" t="s">
        <v>82</v>
      </c>
    </row>
    <row r="21" spans="1:18" customHeight="1" ht="58">
      <c r="A21" s="16"/>
      <c r="B21" s="18" t="s">
        <v>83</v>
      </c>
      <c r="C21" s="17" t="s">
        <v>84</v>
      </c>
      <c r="D21" s="17" t="s">
        <v>89</v>
      </c>
      <c r="E21" s="17" t="s">
        <v>86</v>
      </c>
      <c r="F21" s="19"/>
      <c r="G21" s="20">
        <v>1.0</v>
      </c>
      <c r="H21" s="21"/>
      <c r="I21" s="21">
        <v>151.0</v>
      </c>
      <c r="J21" s="22">
        <v>30.0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87</v>
      </c>
      <c r="P21" t="s">
        <v>88</v>
      </c>
      <c r="Q21" t="s">
        <v>88</v>
      </c>
    </row>
    <row r="22" spans="1:18" customHeight="1" ht="58">
      <c r="A22" s="16"/>
      <c r="B22" s="18" t="s">
        <v>83</v>
      </c>
      <c r="C22" s="17" t="s">
        <v>84</v>
      </c>
      <c r="D22" s="17" t="s">
        <v>91</v>
      </c>
      <c r="E22" s="17" t="s">
        <v>86</v>
      </c>
      <c r="F22" s="19"/>
      <c r="G22" s="20">
        <v>1.0</v>
      </c>
      <c r="H22" s="21"/>
      <c r="I22" s="21">
        <v>151.0</v>
      </c>
      <c r="J22" s="22">
        <v>30.0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87</v>
      </c>
      <c r="P22" t="s">
        <v>90</v>
      </c>
      <c r="Q22" t="s">
        <v>90</v>
      </c>
    </row>
    <row r="23" spans="1:18" customHeight="1" ht="58">
      <c r="A23" s="16"/>
      <c r="B23" s="18" t="s">
        <v>83</v>
      </c>
      <c r="C23" s="17" t="s">
        <v>84</v>
      </c>
      <c r="D23" s="17" t="s">
        <v>93</v>
      </c>
      <c r="E23" s="17" t="s">
        <v>86</v>
      </c>
      <c r="F23" s="19"/>
      <c r="G23" s="20">
        <v>1.0</v>
      </c>
      <c r="H23" s="21"/>
      <c r="I23" s="21">
        <v>151.0</v>
      </c>
      <c r="J23" s="22">
        <v>30.0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94</v>
      </c>
      <c r="P23" t="s">
        <v>92</v>
      </c>
      <c r="Q23" t="s">
        <v>92</v>
      </c>
    </row>
    <row r="24" spans="1:18" customHeight="1" ht="58">
      <c r="A24" s="16"/>
      <c r="B24" s="18" t="s">
        <v>96</v>
      </c>
      <c r="C24" s="17" t="s">
        <v>84</v>
      </c>
      <c r="D24" s="17" t="s">
        <v>97</v>
      </c>
      <c r="E24" s="17" t="s">
        <v>98</v>
      </c>
      <c r="F24" s="19"/>
      <c r="G24" s="20">
        <v>1.0</v>
      </c>
      <c r="H24" s="21"/>
      <c r="I24" s="21">
        <v>226.0</v>
      </c>
      <c r="J24" s="22">
        <v>1.0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99</v>
      </c>
      <c r="P24" t="s">
        <v>95</v>
      </c>
      <c r="Q24" t="s">
        <v>95</v>
      </c>
    </row>
    <row r="25" spans="1:18" customHeight="1" ht="58">
      <c r="A25" s="16"/>
      <c r="B25" s="18" t="s">
        <v>96</v>
      </c>
      <c r="C25" s="17" t="s">
        <v>84</v>
      </c>
      <c r="D25" s="17" t="s">
        <v>85</v>
      </c>
      <c r="E25" s="17" t="s">
        <v>98</v>
      </c>
      <c r="F25" s="19"/>
      <c r="G25" s="20">
        <v>1.0</v>
      </c>
      <c r="H25" s="21"/>
      <c r="I25" s="21">
        <v>226.0</v>
      </c>
      <c r="J25" s="22">
        <v>12.0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101</v>
      </c>
      <c r="P25" t="s">
        <v>100</v>
      </c>
      <c r="Q25" t="s">
        <v>100</v>
      </c>
    </row>
    <row r="26" spans="1:18" customHeight="1" ht="58">
      <c r="A26" s="16"/>
      <c r="B26" s="18" t="s">
        <v>96</v>
      </c>
      <c r="C26" s="17" t="s">
        <v>84</v>
      </c>
      <c r="D26" s="17" t="s">
        <v>89</v>
      </c>
      <c r="E26" s="17" t="s">
        <v>98</v>
      </c>
      <c r="F26" s="19"/>
      <c r="G26" s="20">
        <v>1.0</v>
      </c>
      <c r="H26" s="21"/>
      <c r="I26" s="21">
        <v>226.0</v>
      </c>
      <c r="J26" s="22">
        <v>12.0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103</v>
      </c>
      <c r="P26" t="s">
        <v>102</v>
      </c>
      <c r="Q26" t="s">
        <v>102</v>
      </c>
    </row>
    <row r="27" spans="1:18" customHeight="1" ht="58">
      <c r="A27" s="16"/>
      <c r="B27" s="18" t="s">
        <v>96</v>
      </c>
      <c r="C27" s="17" t="s">
        <v>84</v>
      </c>
      <c r="D27" s="17" t="s">
        <v>91</v>
      </c>
      <c r="E27" s="17" t="s">
        <v>98</v>
      </c>
      <c r="F27" s="19"/>
      <c r="G27" s="20">
        <v>1.0</v>
      </c>
      <c r="H27" s="21"/>
      <c r="I27" s="21">
        <v>226.0</v>
      </c>
      <c r="J27" s="22">
        <v>12.0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105</v>
      </c>
      <c r="P27" t="s">
        <v>104</v>
      </c>
      <c r="Q27" t="s">
        <v>104</v>
      </c>
    </row>
    <row r="28" spans="1:18" customHeight="1" ht="58">
      <c r="A28" s="16"/>
      <c r="B28" s="18" t="s">
        <v>107</v>
      </c>
      <c r="C28" s="17" t="s">
        <v>84</v>
      </c>
      <c r="D28" s="17" t="s">
        <v>85</v>
      </c>
      <c r="E28" s="17" t="s">
        <v>108</v>
      </c>
      <c r="F28" s="19"/>
      <c r="G28" s="20">
        <v>1.0</v>
      </c>
      <c r="H28" s="21"/>
      <c r="I28" s="21">
        <v>303.0</v>
      </c>
      <c r="J28" s="22">
        <v>16.0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109</v>
      </c>
      <c r="P28" t="s">
        <v>106</v>
      </c>
      <c r="Q28" t="s">
        <v>106</v>
      </c>
    </row>
    <row r="29" spans="1:18" customHeight="1" ht="58">
      <c r="A29" s="16"/>
      <c r="B29" s="18" t="s">
        <v>107</v>
      </c>
      <c r="C29" s="17" t="s">
        <v>84</v>
      </c>
      <c r="D29" s="17" t="s">
        <v>89</v>
      </c>
      <c r="E29" s="17" t="s">
        <v>108</v>
      </c>
      <c r="F29" s="19"/>
      <c r="G29" s="20">
        <v>1.0</v>
      </c>
      <c r="H29" s="21"/>
      <c r="I29" s="21">
        <v>303.0</v>
      </c>
      <c r="J29" s="22">
        <v>16.0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111</v>
      </c>
      <c r="P29" t="s">
        <v>110</v>
      </c>
      <c r="Q29" t="s">
        <v>110</v>
      </c>
    </row>
    <row r="30" spans="1:18" customHeight="1" ht="58">
      <c r="A30" s="16"/>
      <c r="B30" s="18" t="s">
        <v>107</v>
      </c>
      <c r="C30" s="17" t="s">
        <v>84</v>
      </c>
      <c r="D30" s="17" t="s">
        <v>91</v>
      </c>
      <c r="E30" s="17" t="s">
        <v>108</v>
      </c>
      <c r="F30" s="19"/>
      <c r="G30" s="20">
        <v>1.0</v>
      </c>
      <c r="H30" s="21"/>
      <c r="I30" s="21">
        <v>303.0</v>
      </c>
      <c r="J30" s="22">
        <v>16.0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113</v>
      </c>
      <c r="P30" t="s">
        <v>112</v>
      </c>
      <c r="Q30" t="s">
        <v>112</v>
      </c>
    </row>
    <row r="31" spans="1:18" customHeight="1" ht="58">
      <c r="A31" s="16"/>
      <c r="B31" s="18" t="s">
        <v>107</v>
      </c>
      <c r="C31" s="17" t="s">
        <v>84</v>
      </c>
      <c r="D31" s="17" t="s">
        <v>93</v>
      </c>
      <c r="E31" s="17" t="s">
        <v>108</v>
      </c>
      <c r="F31" s="19"/>
      <c r="G31" s="20">
        <v>1.0</v>
      </c>
      <c r="H31" s="21"/>
      <c r="I31" s="21">
        <v>303.0</v>
      </c>
      <c r="J31" s="22">
        <v>16.0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115</v>
      </c>
      <c r="P31" t="s">
        <v>114</v>
      </c>
      <c r="Q31" t="s">
        <v>114</v>
      </c>
    </row>
    <row r="32" spans="1:18" customHeight="1" ht="58">
      <c r="A32" s="16"/>
      <c r="B32" s="18" t="s">
        <v>107</v>
      </c>
      <c r="C32" s="17" t="s">
        <v>84</v>
      </c>
      <c r="D32" s="17" t="s">
        <v>97</v>
      </c>
      <c r="E32" s="17" t="s">
        <v>108</v>
      </c>
      <c r="F32" s="19"/>
      <c r="G32" s="20">
        <v>1.0</v>
      </c>
      <c r="H32" s="21"/>
      <c r="I32" s="21">
        <v>303.0</v>
      </c>
      <c r="J32" s="22">
        <v>1.0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117</v>
      </c>
      <c r="P32" t="s">
        <v>116</v>
      </c>
      <c r="Q32" t="s">
        <v>116</v>
      </c>
    </row>
    <row r="33" spans="1:18" customHeight="1" ht="58">
      <c r="A33" s="16"/>
      <c r="B33" s="18" t="s">
        <v>119</v>
      </c>
      <c r="C33" s="17" t="s">
        <v>84</v>
      </c>
      <c r="D33" s="17" t="s">
        <v>91</v>
      </c>
      <c r="E33" s="17" t="s">
        <v>120</v>
      </c>
      <c r="F33" s="19"/>
      <c r="G33" s="20">
        <v>1.0</v>
      </c>
      <c r="H33" s="21"/>
      <c r="I33" s="21">
        <v>393.0</v>
      </c>
      <c r="J33" s="22">
        <v>8.0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121</v>
      </c>
      <c r="P33" t="s">
        <v>118</v>
      </c>
      <c r="Q33" t="s">
        <v>118</v>
      </c>
    </row>
    <row r="34" spans="1:18" customHeight="1" ht="58">
      <c r="A34" s="16"/>
      <c r="B34" s="18" t="s">
        <v>119</v>
      </c>
      <c r="C34" s="17" t="s">
        <v>84</v>
      </c>
      <c r="D34" s="17" t="s">
        <v>93</v>
      </c>
      <c r="E34" s="17" t="s">
        <v>120</v>
      </c>
      <c r="F34" s="19"/>
      <c r="G34" s="20">
        <v>1.0</v>
      </c>
      <c r="H34" s="21"/>
      <c r="I34" s="21">
        <v>393.0</v>
      </c>
      <c r="J34" s="22">
        <v>8.0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123</v>
      </c>
      <c r="P34" t="s">
        <v>122</v>
      </c>
      <c r="Q34" t="s">
        <v>122</v>
      </c>
    </row>
    <row r="35" spans="1:18" customHeight="1" ht="58">
      <c r="A35" s="16"/>
      <c r="B35" s="18" t="s">
        <v>119</v>
      </c>
      <c r="C35" s="17" t="s">
        <v>84</v>
      </c>
      <c r="D35" s="17" t="s">
        <v>85</v>
      </c>
      <c r="E35" s="17" t="s">
        <v>120</v>
      </c>
      <c r="F35" s="19"/>
      <c r="G35" s="20">
        <v>1.0</v>
      </c>
      <c r="H35" s="21"/>
      <c r="I35" s="21">
        <v>393.0</v>
      </c>
      <c r="J35" s="22">
        <v>8.0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125</v>
      </c>
      <c r="P35" t="s">
        <v>124</v>
      </c>
      <c r="Q35" t="s">
        <v>124</v>
      </c>
    </row>
    <row r="36" spans="1:18" customHeight="1" ht="58">
      <c r="A36" s="16"/>
      <c r="B36" s="18" t="s">
        <v>119</v>
      </c>
      <c r="C36" s="17" t="s">
        <v>84</v>
      </c>
      <c r="D36" s="17" t="s">
        <v>89</v>
      </c>
      <c r="E36" s="17" t="s">
        <v>120</v>
      </c>
      <c r="F36" s="19"/>
      <c r="G36" s="20">
        <v>1.0</v>
      </c>
      <c r="H36" s="21"/>
      <c r="I36" s="21">
        <v>393.0</v>
      </c>
      <c r="J36" s="22">
        <v>8.0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127</v>
      </c>
      <c r="P36" t="s">
        <v>126</v>
      </c>
      <c r="Q36" t="s">
        <v>126</v>
      </c>
    </row>
    <row r="37" spans="1:18" customHeight="1" ht="58">
      <c r="A37" s="16"/>
      <c r="B37" s="18" t="s">
        <v>129</v>
      </c>
      <c r="C37" s="17" t="s">
        <v>130</v>
      </c>
      <c r="D37" s="17" t="s">
        <v>91</v>
      </c>
      <c r="E37" s="17" t="s">
        <v>131</v>
      </c>
      <c r="F37" s="19"/>
      <c r="G37" s="20">
        <v>1.0</v>
      </c>
      <c r="H37" s="21"/>
      <c r="I37" s="21">
        <v>260.0</v>
      </c>
      <c r="J37" s="22">
        <v>5.0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132</v>
      </c>
      <c r="P37" t="s">
        <v>128</v>
      </c>
      <c r="Q37" t="s">
        <v>128</v>
      </c>
    </row>
    <row r="38" spans="1:18" customHeight="1" ht="58">
      <c r="A38" s="16"/>
      <c r="B38" s="18" t="s">
        <v>129</v>
      </c>
      <c r="C38" s="17" t="s">
        <v>130</v>
      </c>
      <c r="D38" s="17" t="s">
        <v>134</v>
      </c>
      <c r="E38" s="17" t="s">
        <v>131</v>
      </c>
      <c r="F38" s="19"/>
      <c r="G38" s="20">
        <v>1.0</v>
      </c>
      <c r="H38" s="21"/>
      <c r="I38" s="21">
        <v>260.0</v>
      </c>
      <c r="J38" s="22">
        <v>3.0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135</v>
      </c>
      <c r="P38" t="s">
        <v>133</v>
      </c>
      <c r="Q38" t="s">
        <v>133</v>
      </c>
    </row>
    <row r="39" spans="1:18" customHeight="1" ht="58">
      <c r="A39" s="16"/>
      <c r="B39" s="18" t="s">
        <v>129</v>
      </c>
      <c r="C39" s="17" t="s">
        <v>130</v>
      </c>
      <c r="D39" s="17" t="s">
        <v>93</v>
      </c>
      <c r="E39" s="17" t="s">
        <v>131</v>
      </c>
      <c r="F39" s="19"/>
      <c r="G39" s="20">
        <v>1.0</v>
      </c>
      <c r="H39" s="21"/>
      <c r="I39" s="21">
        <v>260.0</v>
      </c>
      <c r="J39" s="22">
        <v>7.0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137</v>
      </c>
      <c r="P39" t="s">
        <v>136</v>
      </c>
      <c r="Q39" t="s">
        <v>136</v>
      </c>
    </row>
    <row r="40" spans="1:18" customHeight="1" ht="58">
      <c r="A40" s="16"/>
      <c r="B40" s="18" t="s">
        <v>139</v>
      </c>
      <c r="C40" s="17" t="s">
        <v>130</v>
      </c>
      <c r="D40" s="17" t="s">
        <v>85</v>
      </c>
      <c r="E40" s="17" t="s">
        <v>140</v>
      </c>
      <c r="F40" s="19"/>
      <c r="G40" s="20">
        <v>1.0</v>
      </c>
      <c r="H40" s="21"/>
      <c r="I40" s="21">
        <v>653.0</v>
      </c>
      <c r="J40" s="22">
        <v>6.0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141</v>
      </c>
      <c r="P40" t="s">
        <v>138</v>
      </c>
      <c r="Q40" t="s">
        <v>138</v>
      </c>
    </row>
    <row r="41" spans="1:18" customHeight="1" ht="58">
      <c r="A41" s="16"/>
      <c r="B41" s="18" t="s">
        <v>139</v>
      </c>
      <c r="C41" s="17" t="s">
        <v>130</v>
      </c>
      <c r="D41" s="17" t="s">
        <v>93</v>
      </c>
      <c r="E41" s="17" t="s">
        <v>140</v>
      </c>
      <c r="F41" s="19"/>
      <c r="G41" s="20">
        <v>1.0</v>
      </c>
      <c r="H41" s="21"/>
      <c r="I41" s="21">
        <v>653.0</v>
      </c>
      <c r="J41" s="22">
        <v>9.0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143</v>
      </c>
      <c r="P41" t="s">
        <v>142</v>
      </c>
      <c r="Q41" t="s">
        <v>142</v>
      </c>
    </row>
    <row r="42" spans="1:18" customHeight="1" ht="58">
      <c r="A42" s="16"/>
      <c r="B42" s="18" t="s">
        <v>139</v>
      </c>
      <c r="C42" s="17" t="s">
        <v>130</v>
      </c>
      <c r="D42" s="17" t="s">
        <v>91</v>
      </c>
      <c r="E42" s="17" t="s">
        <v>140</v>
      </c>
      <c r="F42" s="19"/>
      <c r="G42" s="20">
        <v>1.0</v>
      </c>
      <c r="H42" s="21"/>
      <c r="I42" s="21">
        <v>653.0</v>
      </c>
      <c r="J42" s="22">
        <v>10.0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145</v>
      </c>
      <c r="P42" t="s">
        <v>144</v>
      </c>
      <c r="Q42" t="s">
        <v>144</v>
      </c>
    </row>
    <row r="43" spans="1:18" customHeight="1" ht="58">
      <c r="A43" s="16"/>
      <c r="B43" s="18" t="s">
        <v>139</v>
      </c>
      <c r="C43" s="17" t="s">
        <v>130</v>
      </c>
      <c r="D43" s="17" t="s">
        <v>134</v>
      </c>
      <c r="E43" s="17" t="s">
        <v>140</v>
      </c>
      <c r="F43" s="19"/>
      <c r="G43" s="20">
        <v>1.0</v>
      </c>
      <c r="H43" s="21"/>
      <c r="I43" s="21">
        <v>653.0</v>
      </c>
      <c r="J43" s="22">
        <v>12.0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147</v>
      </c>
      <c r="P43" t="s">
        <v>146</v>
      </c>
      <c r="Q43" t="s">
        <v>146</v>
      </c>
    </row>
    <row r="44" spans="1:18" customHeight="1" ht="58">
      <c r="A44" s="16"/>
      <c r="B44" s="18" t="s">
        <v>149</v>
      </c>
      <c r="C44" s="17" t="s">
        <v>130</v>
      </c>
      <c r="D44" s="17" t="s">
        <v>150</v>
      </c>
      <c r="E44" s="17" t="s">
        <v>151</v>
      </c>
      <c r="F44" s="19"/>
      <c r="G44" s="20">
        <v>1.0</v>
      </c>
      <c r="H44" s="21"/>
      <c r="I44" s="21">
        <v>1174.0</v>
      </c>
      <c r="J44" s="22">
        <v>4.0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152</v>
      </c>
      <c r="P44" t="s">
        <v>148</v>
      </c>
      <c r="Q44" t="s">
        <v>148</v>
      </c>
    </row>
    <row r="45" spans="1:18" customHeight="1" ht="58">
      <c r="A45" s="16"/>
      <c r="B45" s="18" t="s">
        <v>149</v>
      </c>
      <c r="C45" s="17" t="s">
        <v>130</v>
      </c>
      <c r="D45" s="17" t="s">
        <v>80</v>
      </c>
      <c r="E45" s="17" t="s">
        <v>151</v>
      </c>
      <c r="F45" s="19"/>
      <c r="G45" s="20">
        <v>1.0</v>
      </c>
      <c r="H45" s="21"/>
      <c r="I45" s="21">
        <v>1174.0</v>
      </c>
      <c r="J45" s="22">
        <v>9.0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154</v>
      </c>
      <c r="P45" t="s">
        <v>153</v>
      </c>
      <c r="Q45" t="s">
        <v>153</v>
      </c>
    </row>
    <row r="46" spans="1:18" customHeight="1" ht="58">
      <c r="A46" s="16"/>
      <c r="B46" s="18" t="s">
        <v>149</v>
      </c>
      <c r="C46" s="17" t="s">
        <v>130</v>
      </c>
      <c r="D46" s="17" t="s">
        <v>156</v>
      </c>
      <c r="E46" s="17" t="s">
        <v>151</v>
      </c>
      <c r="F46" s="19"/>
      <c r="G46" s="20">
        <v>1.0</v>
      </c>
      <c r="H46" s="21"/>
      <c r="I46" s="21">
        <v>1174.0</v>
      </c>
      <c r="J46" s="22">
        <v>10.0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157</v>
      </c>
      <c r="P46" t="s">
        <v>155</v>
      </c>
      <c r="Q46" t="s">
        <v>155</v>
      </c>
    </row>
    <row r="47" spans="1:18" customHeight="1" ht="58">
      <c r="A47" s="16"/>
      <c r="B47" s="18" t="s">
        <v>149</v>
      </c>
      <c r="C47" s="17" t="s">
        <v>130</v>
      </c>
      <c r="D47" s="17" t="s">
        <v>159</v>
      </c>
      <c r="E47" s="17" t="s">
        <v>151</v>
      </c>
      <c r="F47" s="19"/>
      <c r="G47" s="20">
        <v>1.0</v>
      </c>
      <c r="H47" s="21"/>
      <c r="I47" s="21">
        <v>1174.0</v>
      </c>
      <c r="J47" s="22">
        <v>9.0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160</v>
      </c>
      <c r="P47" t="s">
        <v>158</v>
      </c>
      <c r="Q47" t="s">
        <v>158</v>
      </c>
    </row>
    <row r="48" spans="1:18" customHeight="1" ht="58">
      <c r="A48" s="16"/>
      <c r="B48" s="18" t="s">
        <v>149</v>
      </c>
      <c r="C48" s="17" t="s">
        <v>130</v>
      </c>
      <c r="D48" s="17" t="s">
        <v>162</v>
      </c>
      <c r="E48" s="17" t="s">
        <v>151</v>
      </c>
      <c r="F48" s="19"/>
      <c r="G48" s="20">
        <v>1.0</v>
      </c>
      <c r="H48" s="21"/>
      <c r="I48" s="21">
        <v>1174.0</v>
      </c>
      <c r="J48" s="22">
        <v>8.0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163</v>
      </c>
      <c r="P48" t="s">
        <v>161</v>
      </c>
      <c r="Q48" t="s">
        <v>161</v>
      </c>
    </row>
    <row r="49" spans="1:18" customHeight="1" ht="58">
      <c r="A49" s="16"/>
      <c r="B49" s="18" t="s">
        <v>165</v>
      </c>
      <c r="C49" s="17" t="s">
        <v>166</v>
      </c>
      <c r="D49" s="17"/>
      <c r="E49" s="17"/>
      <c r="F49" s="19"/>
      <c r="G49" s="20">
        <v>1.0</v>
      </c>
      <c r="H49" s="21"/>
      <c r="I49" s="21">
        <v>1441.0</v>
      </c>
      <c r="J49" s="22">
        <v>5.0</v>
      </c>
      <c r="K49" s="50"/>
      <c r="L49" s="21" t="str">
        <f>IF(K49&gt;0,K49*I49,"")</f>
      </c>
      <c r="M49" s="52"/>
      <c r="N49" t="str">
        <f>IF(K49&gt;0,COUNTIF($K$7:K49,"&gt;0"),"")</f>
      </c>
      <c r="P49" t="s">
        <v>164</v>
      </c>
      <c r="Q49" t="s">
        <v>164</v>
      </c>
    </row>
    <row r="50" spans="1:18" customHeight="1" ht="58">
      <c r="A50" s="16"/>
      <c r="B50" s="18" t="s">
        <v>165</v>
      </c>
      <c r="C50" s="17" t="s">
        <v>168</v>
      </c>
      <c r="D50" s="17"/>
      <c r="E50" s="17"/>
      <c r="F50" s="19"/>
      <c r="G50" s="20">
        <v>1.0</v>
      </c>
      <c r="H50" s="21"/>
      <c r="I50" s="21">
        <v>1441.0</v>
      </c>
      <c r="J50" s="22">
        <v>5.0</v>
      </c>
      <c r="K50" s="50"/>
      <c r="L50" s="21" t="str">
        <f>IF(K50&gt;0,K50*I50,"")</f>
      </c>
      <c r="M50" s="52"/>
      <c r="N50" t="str">
        <f>IF(K50&gt;0,COUNTIF($K$7:K50,"&gt;0"),"")</f>
      </c>
      <c r="P50" t="s">
        <v>167</v>
      </c>
      <c r="Q50" t="s">
        <v>167</v>
      </c>
    </row>
    <row r="51" spans="1:18" customHeight="1" ht="58">
      <c r="A51" s="16"/>
      <c r="B51" s="18" t="s">
        <v>165</v>
      </c>
      <c r="C51" s="17" t="s">
        <v>170</v>
      </c>
      <c r="D51" s="17"/>
      <c r="E51" s="17"/>
      <c r="F51" s="19"/>
      <c r="G51" s="20">
        <v>1.0</v>
      </c>
      <c r="H51" s="21"/>
      <c r="I51" s="21">
        <v>1441.0</v>
      </c>
      <c r="J51" s="22">
        <v>5.0</v>
      </c>
      <c r="K51" s="50"/>
      <c r="L51" s="21" t="str">
        <f>IF(K51&gt;0,K51*I51,"")</f>
      </c>
      <c r="M51" s="52"/>
      <c r="N51" t="str">
        <f>IF(K51&gt;0,COUNTIF($K$7:K51,"&gt;0"),"")</f>
      </c>
      <c r="P51" t="s">
        <v>169</v>
      </c>
      <c r="Q51" t="s">
        <v>169</v>
      </c>
    </row>
    <row r="52" spans="1:18" customHeight="1" ht="58">
      <c r="A52" s="16"/>
      <c r="B52" s="18" t="s">
        <v>172</v>
      </c>
      <c r="C52" s="17" t="s">
        <v>173</v>
      </c>
      <c r="D52" s="17" t="s">
        <v>89</v>
      </c>
      <c r="E52" s="17" t="s">
        <v>86</v>
      </c>
      <c r="F52" s="19"/>
      <c r="G52" s="20">
        <v>1.0</v>
      </c>
      <c r="H52" s="21"/>
      <c r="I52" s="21">
        <v>150.0</v>
      </c>
      <c r="J52" s="22">
        <v>38.0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174</v>
      </c>
      <c r="P52" t="s">
        <v>171</v>
      </c>
      <c r="Q52" t="s">
        <v>171</v>
      </c>
    </row>
    <row r="53" spans="1:18" customHeight="1" ht="58">
      <c r="A53" s="16"/>
      <c r="B53" s="18" t="s">
        <v>172</v>
      </c>
      <c r="C53" s="17" t="s">
        <v>173</v>
      </c>
      <c r="D53" s="17" t="s">
        <v>91</v>
      </c>
      <c r="E53" s="17" t="s">
        <v>86</v>
      </c>
      <c r="F53" s="19"/>
      <c r="G53" s="20">
        <v>1.0</v>
      </c>
      <c r="H53" s="21"/>
      <c r="I53" s="21">
        <v>150.0</v>
      </c>
      <c r="J53" s="22">
        <v>30.0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176</v>
      </c>
      <c r="P53" t="s">
        <v>175</v>
      </c>
      <c r="Q53" t="s">
        <v>175</v>
      </c>
    </row>
    <row r="54" spans="1:18" customHeight="1" ht="58">
      <c r="A54" s="16"/>
      <c r="B54" s="18" t="s">
        <v>172</v>
      </c>
      <c r="C54" s="17" t="s">
        <v>173</v>
      </c>
      <c r="D54" s="17" t="s">
        <v>93</v>
      </c>
      <c r="E54" s="17" t="s">
        <v>86</v>
      </c>
      <c r="F54" s="19"/>
      <c r="G54" s="20">
        <v>1.0</v>
      </c>
      <c r="H54" s="21"/>
      <c r="I54" s="21">
        <v>150.0</v>
      </c>
      <c r="J54" s="22">
        <v>30.0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178</v>
      </c>
      <c r="P54" t="s">
        <v>177</v>
      </c>
      <c r="Q54" t="s">
        <v>177</v>
      </c>
    </row>
    <row r="55" spans="1:18" customHeight="1" ht="58">
      <c r="A55" s="16"/>
      <c r="B55" s="18" t="s">
        <v>172</v>
      </c>
      <c r="C55" s="17" t="s">
        <v>173</v>
      </c>
      <c r="D55" s="17" t="s">
        <v>85</v>
      </c>
      <c r="E55" s="17" t="s">
        <v>86</v>
      </c>
      <c r="F55" s="19"/>
      <c r="G55" s="20">
        <v>1.0</v>
      </c>
      <c r="H55" s="21"/>
      <c r="I55" s="21">
        <v>150.0</v>
      </c>
      <c r="J55" s="22">
        <v>30.0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180</v>
      </c>
      <c r="P55" t="s">
        <v>179</v>
      </c>
      <c r="Q55" t="s">
        <v>179</v>
      </c>
    </row>
    <row r="56" spans="1:18" customHeight="1" ht="58">
      <c r="A56" s="16"/>
      <c r="B56" s="18" t="s">
        <v>182</v>
      </c>
      <c r="C56" s="17" t="s">
        <v>173</v>
      </c>
      <c r="D56" s="17" t="s">
        <v>89</v>
      </c>
      <c r="E56" s="17" t="s">
        <v>183</v>
      </c>
      <c r="F56" s="19"/>
      <c r="G56" s="20">
        <v>1.0</v>
      </c>
      <c r="H56" s="21"/>
      <c r="I56" s="21">
        <v>226.0</v>
      </c>
      <c r="J56" s="22">
        <v>14.0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184</v>
      </c>
      <c r="P56" t="s">
        <v>181</v>
      </c>
      <c r="Q56" t="s">
        <v>181</v>
      </c>
    </row>
    <row r="57" spans="1:18" customHeight="1" ht="58">
      <c r="A57" s="16"/>
      <c r="B57" s="18" t="s">
        <v>182</v>
      </c>
      <c r="C57" s="17" t="s">
        <v>173</v>
      </c>
      <c r="D57" s="17" t="s">
        <v>91</v>
      </c>
      <c r="E57" s="17" t="s">
        <v>183</v>
      </c>
      <c r="F57" s="19"/>
      <c r="G57" s="20">
        <v>1.0</v>
      </c>
      <c r="H57" s="21"/>
      <c r="I57" s="21">
        <v>226.0</v>
      </c>
      <c r="J57" s="22">
        <v>14.0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186</v>
      </c>
      <c r="P57" t="s">
        <v>185</v>
      </c>
      <c r="Q57" t="s">
        <v>185</v>
      </c>
    </row>
    <row r="58" spans="1:18" customHeight="1" ht="58">
      <c r="A58" s="16"/>
      <c r="B58" s="18" t="s">
        <v>182</v>
      </c>
      <c r="C58" s="17" t="s">
        <v>173</v>
      </c>
      <c r="D58" s="17" t="s">
        <v>93</v>
      </c>
      <c r="E58" s="17" t="s">
        <v>183</v>
      </c>
      <c r="F58" s="19"/>
      <c r="G58" s="20">
        <v>1.0</v>
      </c>
      <c r="H58" s="21"/>
      <c r="I58" s="21">
        <v>226.0</v>
      </c>
      <c r="J58" s="22">
        <v>13.0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188</v>
      </c>
      <c r="P58" t="s">
        <v>187</v>
      </c>
      <c r="Q58" t="s">
        <v>187</v>
      </c>
    </row>
    <row r="59" spans="1:18" customHeight="1" ht="58">
      <c r="A59" s="16"/>
      <c r="B59" s="18" t="s">
        <v>182</v>
      </c>
      <c r="C59" s="17" t="s">
        <v>173</v>
      </c>
      <c r="D59" s="17" t="s">
        <v>85</v>
      </c>
      <c r="E59" s="17" t="s">
        <v>183</v>
      </c>
      <c r="F59" s="19"/>
      <c r="G59" s="20">
        <v>1.0</v>
      </c>
      <c r="H59" s="21"/>
      <c r="I59" s="21">
        <v>226.0</v>
      </c>
      <c r="J59" s="22">
        <v>12.0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190</v>
      </c>
      <c r="P59" t="s">
        <v>189</v>
      </c>
      <c r="Q59" t="s">
        <v>189</v>
      </c>
    </row>
    <row r="60" spans="1:18" customHeight="1" ht="58">
      <c r="A60" s="16"/>
      <c r="B60" s="18" t="s">
        <v>192</v>
      </c>
      <c r="C60" s="17" t="s">
        <v>173</v>
      </c>
      <c r="D60" s="17" t="s">
        <v>193</v>
      </c>
      <c r="E60" s="17" t="s">
        <v>194</v>
      </c>
      <c r="F60" s="19"/>
      <c r="G60" s="20">
        <v>1.0</v>
      </c>
      <c r="H60" s="21"/>
      <c r="I60" s="21">
        <v>292.0</v>
      </c>
      <c r="J60" s="22">
        <v>3.0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195</v>
      </c>
      <c r="P60" t="s">
        <v>191</v>
      </c>
      <c r="Q60" t="s">
        <v>191</v>
      </c>
    </row>
    <row r="61" spans="1:18" customHeight="1" ht="58">
      <c r="A61" s="16"/>
      <c r="B61" s="18" t="s">
        <v>192</v>
      </c>
      <c r="C61" s="17" t="s">
        <v>173</v>
      </c>
      <c r="D61" s="17" t="s">
        <v>85</v>
      </c>
      <c r="E61" s="17" t="s">
        <v>194</v>
      </c>
      <c r="F61" s="19"/>
      <c r="G61" s="20">
        <v>1.0</v>
      </c>
      <c r="H61" s="21"/>
      <c r="I61" s="21">
        <v>292.0</v>
      </c>
      <c r="J61" s="22">
        <v>16.0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197</v>
      </c>
      <c r="P61" t="s">
        <v>196</v>
      </c>
      <c r="Q61" t="s">
        <v>196</v>
      </c>
    </row>
    <row r="62" spans="1:18" customHeight="1" ht="58">
      <c r="A62" s="16"/>
      <c r="B62" s="18" t="s">
        <v>192</v>
      </c>
      <c r="C62" s="17" t="s">
        <v>173</v>
      </c>
      <c r="D62" s="17" t="s">
        <v>93</v>
      </c>
      <c r="E62" s="17" t="s">
        <v>194</v>
      </c>
      <c r="F62" s="19"/>
      <c r="G62" s="20">
        <v>1.0</v>
      </c>
      <c r="H62" s="21"/>
      <c r="I62" s="21">
        <v>292.0</v>
      </c>
      <c r="J62" s="22">
        <v>21.0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199</v>
      </c>
      <c r="P62" t="s">
        <v>198</v>
      </c>
      <c r="Q62" t="s">
        <v>198</v>
      </c>
    </row>
    <row r="63" spans="1:18" customHeight="1" ht="58">
      <c r="A63" s="16"/>
      <c r="B63" s="18" t="s">
        <v>192</v>
      </c>
      <c r="C63" s="17" t="s">
        <v>173</v>
      </c>
      <c r="D63" s="17" t="s">
        <v>91</v>
      </c>
      <c r="E63" s="17" t="s">
        <v>194</v>
      </c>
      <c r="F63" s="19"/>
      <c r="G63" s="20">
        <v>1.0</v>
      </c>
      <c r="H63" s="21"/>
      <c r="I63" s="21">
        <v>292.0</v>
      </c>
      <c r="J63" s="22">
        <v>20.0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201</v>
      </c>
      <c r="P63" t="s">
        <v>200</v>
      </c>
      <c r="Q63" t="s">
        <v>200</v>
      </c>
    </row>
    <row r="64" spans="1:18" customHeight="1" ht="58">
      <c r="A64" s="16"/>
      <c r="B64" s="18" t="s">
        <v>192</v>
      </c>
      <c r="C64" s="17" t="s">
        <v>173</v>
      </c>
      <c r="D64" s="17" t="s">
        <v>89</v>
      </c>
      <c r="E64" s="17" t="s">
        <v>194</v>
      </c>
      <c r="F64" s="19"/>
      <c r="G64" s="20">
        <v>1.0</v>
      </c>
      <c r="H64" s="21"/>
      <c r="I64" s="21">
        <v>292.0</v>
      </c>
      <c r="J64" s="22">
        <v>17.0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203</v>
      </c>
      <c r="P64" t="s">
        <v>202</v>
      </c>
      <c r="Q64" t="s">
        <v>202</v>
      </c>
    </row>
    <row r="65" spans="1:18" customHeight="1" ht="58">
      <c r="A65" s="16"/>
      <c r="B65" s="18" t="s">
        <v>192</v>
      </c>
      <c r="C65" s="17" t="s">
        <v>173</v>
      </c>
      <c r="D65" s="17" t="s">
        <v>205</v>
      </c>
      <c r="E65" s="17" t="s">
        <v>194</v>
      </c>
      <c r="F65" s="19"/>
      <c r="G65" s="20">
        <v>1.0</v>
      </c>
      <c r="H65" s="21"/>
      <c r="I65" s="21">
        <v>292.0</v>
      </c>
      <c r="J65" s="22">
        <v>3.0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206</v>
      </c>
      <c r="P65" t="s">
        <v>204</v>
      </c>
      <c r="Q65" t="s">
        <v>204</v>
      </c>
    </row>
    <row r="66" spans="1:18" customHeight="1" ht="58">
      <c r="A66" s="16"/>
      <c r="B66" s="18" t="s">
        <v>208</v>
      </c>
      <c r="C66" s="17" t="s">
        <v>173</v>
      </c>
      <c r="D66" s="17" t="s">
        <v>193</v>
      </c>
      <c r="E66" s="17" t="s">
        <v>209</v>
      </c>
      <c r="F66" s="19"/>
      <c r="G66" s="20">
        <v>1.0</v>
      </c>
      <c r="H66" s="21"/>
      <c r="I66" s="21">
        <v>393.0</v>
      </c>
      <c r="J66" s="22">
        <v>5.0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210</v>
      </c>
      <c r="P66" t="s">
        <v>207</v>
      </c>
      <c r="Q66" t="s">
        <v>207</v>
      </c>
    </row>
    <row r="67" spans="1:18" customHeight="1" ht="58">
      <c r="A67" s="16"/>
      <c r="B67" s="18" t="s">
        <v>208</v>
      </c>
      <c r="C67" s="17" t="s">
        <v>173</v>
      </c>
      <c r="D67" s="17" t="s">
        <v>91</v>
      </c>
      <c r="E67" s="17" t="s">
        <v>209</v>
      </c>
      <c r="F67" s="19"/>
      <c r="G67" s="20">
        <v>1.0</v>
      </c>
      <c r="H67" s="21"/>
      <c r="I67" s="21">
        <v>393.0</v>
      </c>
      <c r="J67" s="22">
        <v>12.0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212</v>
      </c>
      <c r="P67" t="s">
        <v>211</v>
      </c>
      <c r="Q67" t="s">
        <v>211</v>
      </c>
    </row>
    <row r="68" spans="1:18" customHeight="1" ht="58">
      <c r="A68" s="16"/>
      <c r="B68" s="18" t="s">
        <v>208</v>
      </c>
      <c r="C68" s="17" t="s">
        <v>173</v>
      </c>
      <c r="D68" s="17" t="s">
        <v>85</v>
      </c>
      <c r="E68" s="17" t="s">
        <v>209</v>
      </c>
      <c r="F68" s="19"/>
      <c r="G68" s="20">
        <v>1.0</v>
      </c>
      <c r="H68" s="21"/>
      <c r="I68" s="21">
        <v>393.0</v>
      </c>
      <c r="J68" s="22">
        <v>8.0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214</v>
      </c>
      <c r="P68" t="s">
        <v>213</v>
      </c>
      <c r="Q68" t="s">
        <v>213</v>
      </c>
    </row>
    <row r="69" spans="1:18" customHeight="1" ht="58">
      <c r="A69" s="16"/>
      <c r="B69" s="18" t="s">
        <v>208</v>
      </c>
      <c r="C69" s="17" t="s">
        <v>173</v>
      </c>
      <c r="D69" s="17" t="s">
        <v>89</v>
      </c>
      <c r="E69" s="17" t="s">
        <v>209</v>
      </c>
      <c r="F69" s="19"/>
      <c r="G69" s="20">
        <v>1.0</v>
      </c>
      <c r="H69" s="21"/>
      <c r="I69" s="21">
        <v>393.0</v>
      </c>
      <c r="J69" s="22">
        <v>8.0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216</v>
      </c>
      <c r="P69" t="s">
        <v>215</v>
      </c>
      <c r="Q69" t="s">
        <v>215</v>
      </c>
    </row>
    <row r="70" spans="1:18" customHeight="1" ht="58">
      <c r="A70" s="16"/>
      <c r="B70" s="18" t="s">
        <v>208</v>
      </c>
      <c r="C70" s="17" t="s">
        <v>173</v>
      </c>
      <c r="D70" s="17" t="s">
        <v>93</v>
      </c>
      <c r="E70" s="17" t="s">
        <v>209</v>
      </c>
      <c r="F70" s="19"/>
      <c r="G70" s="20">
        <v>1.0</v>
      </c>
      <c r="H70" s="21"/>
      <c r="I70" s="21">
        <v>393.0</v>
      </c>
      <c r="J70" s="22">
        <v>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218</v>
      </c>
      <c r="P70" t="s">
        <v>217</v>
      </c>
      <c r="Q70" t="s">
        <v>217</v>
      </c>
    </row>
    <row r="71" spans="1:18" customHeight="1" ht="58">
      <c r="A71" s="16"/>
      <c r="B71" s="18" t="s">
        <v>208</v>
      </c>
      <c r="C71" s="17" t="s">
        <v>173</v>
      </c>
      <c r="D71" s="17" t="s">
        <v>205</v>
      </c>
      <c r="E71" s="17" t="s">
        <v>209</v>
      </c>
      <c r="F71" s="19"/>
      <c r="G71" s="20">
        <v>1.0</v>
      </c>
      <c r="H71" s="21"/>
      <c r="I71" s="21">
        <v>393.0</v>
      </c>
      <c r="J71" s="22">
        <v>2.0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220</v>
      </c>
      <c r="P71" t="s">
        <v>219</v>
      </c>
      <c r="Q71" t="s">
        <v>219</v>
      </c>
    </row>
    <row r="72" spans="1:18" customHeight="1" ht="58">
      <c r="A72" s="16"/>
      <c r="B72" s="18" t="s">
        <v>222</v>
      </c>
      <c r="C72" s="17" t="s">
        <v>223</v>
      </c>
      <c r="D72" s="17" t="s">
        <v>224</v>
      </c>
      <c r="E72" s="17" t="s">
        <v>225</v>
      </c>
      <c r="F72" s="19"/>
      <c r="G72" s="20">
        <v>1.0</v>
      </c>
      <c r="H72" s="21"/>
      <c r="I72" s="21">
        <v>160.0</v>
      </c>
      <c r="J72" s="22">
        <v>13.0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226</v>
      </c>
      <c r="P72" t="s">
        <v>221</v>
      </c>
      <c r="Q72" t="s">
        <v>221</v>
      </c>
    </row>
    <row r="73" spans="1:18" customHeight="1" ht="58">
      <c r="A73" s="16"/>
      <c r="B73" s="18" t="s">
        <v>222</v>
      </c>
      <c r="C73" s="17" t="s">
        <v>223</v>
      </c>
      <c r="D73" s="17" t="s">
        <v>228</v>
      </c>
      <c r="E73" s="17" t="s">
        <v>225</v>
      </c>
      <c r="F73" s="19"/>
      <c r="G73" s="20">
        <v>1.0</v>
      </c>
      <c r="H73" s="21"/>
      <c r="I73" s="21">
        <v>160.0</v>
      </c>
      <c r="J73" s="22">
        <v>2.0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229</v>
      </c>
      <c r="P73" t="s">
        <v>227</v>
      </c>
      <c r="Q73" t="s">
        <v>227</v>
      </c>
    </row>
    <row r="74" spans="1:18" customHeight="1" ht="58">
      <c r="A74" s="16"/>
      <c r="B74" s="18" t="s">
        <v>222</v>
      </c>
      <c r="C74" s="17" t="s">
        <v>223</v>
      </c>
      <c r="D74" s="17" t="s">
        <v>231</v>
      </c>
      <c r="E74" s="17" t="s">
        <v>225</v>
      </c>
      <c r="F74" s="19"/>
      <c r="G74" s="20">
        <v>1.0</v>
      </c>
      <c r="H74" s="21"/>
      <c r="I74" s="21">
        <v>160.0</v>
      </c>
      <c r="J74" s="22">
        <v>6.0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232</v>
      </c>
      <c r="P74" t="s">
        <v>230</v>
      </c>
      <c r="Q74" t="s">
        <v>230</v>
      </c>
    </row>
    <row r="75" spans="1:18" customHeight="1" ht="58">
      <c r="A75" s="16"/>
      <c r="B75" s="18" t="s">
        <v>222</v>
      </c>
      <c r="C75" s="17" t="s">
        <v>223</v>
      </c>
      <c r="D75" s="17" t="s">
        <v>234</v>
      </c>
      <c r="E75" s="17" t="s">
        <v>225</v>
      </c>
      <c r="F75" s="19"/>
      <c r="G75" s="20">
        <v>1.0</v>
      </c>
      <c r="H75" s="21"/>
      <c r="I75" s="21">
        <v>160.0</v>
      </c>
      <c r="J75" s="22">
        <v>46.0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235</v>
      </c>
      <c r="P75" t="s">
        <v>233</v>
      </c>
      <c r="Q75" t="s">
        <v>233</v>
      </c>
    </row>
    <row r="76" spans="1:18" customHeight="1" ht="58">
      <c r="A76" s="16"/>
      <c r="B76" s="18" t="s">
        <v>237</v>
      </c>
      <c r="C76" s="17" t="s">
        <v>223</v>
      </c>
      <c r="D76" s="17" t="s">
        <v>234</v>
      </c>
      <c r="E76" s="17" t="s">
        <v>238</v>
      </c>
      <c r="F76" s="19"/>
      <c r="G76" s="20">
        <v>1.0</v>
      </c>
      <c r="H76" s="21"/>
      <c r="I76" s="21">
        <v>198.0</v>
      </c>
      <c r="J76" s="22">
        <v>20.0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239</v>
      </c>
      <c r="P76" t="s">
        <v>236</v>
      </c>
      <c r="Q76" t="s">
        <v>236</v>
      </c>
    </row>
    <row r="77" spans="1:18" customHeight="1" ht="58">
      <c r="A77" s="16"/>
      <c r="B77" s="18" t="s">
        <v>241</v>
      </c>
      <c r="C77" s="17" t="s">
        <v>223</v>
      </c>
      <c r="D77" s="17" t="s">
        <v>234</v>
      </c>
      <c r="E77" s="17" t="s">
        <v>242</v>
      </c>
      <c r="F77" s="19"/>
      <c r="G77" s="20">
        <v>1.0</v>
      </c>
      <c r="H77" s="21"/>
      <c r="I77" s="21">
        <v>265.0</v>
      </c>
      <c r="J77" s="22">
        <v>10.0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243</v>
      </c>
      <c r="P77" t="s">
        <v>240</v>
      </c>
      <c r="Q77" t="s">
        <v>240</v>
      </c>
    </row>
    <row r="78" spans="1:18" customHeight="1" ht="58">
      <c r="A78" s="16"/>
      <c r="B78" s="18" t="s">
        <v>245</v>
      </c>
      <c r="C78" s="17" t="s">
        <v>223</v>
      </c>
      <c r="D78" s="17" t="s">
        <v>234</v>
      </c>
      <c r="E78" s="17" t="s">
        <v>120</v>
      </c>
      <c r="F78" s="19"/>
      <c r="G78" s="20">
        <v>1.0</v>
      </c>
      <c r="H78" s="21"/>
      <c r="I78" s="21">
        <v>352.0</v>
      </c>
      <c r="J78" s="22">
        <v>5.0</v>
      </c>
      <c r="K78" s="50"/>
      <c r="L78" s="21" t="str">
        <f>IF(K78&gt;0,K78*I78,"")</f>
      </c>
      <c r="M78" s="52"/>
      <c r="N78" t="str">
        <f>IF(K78&gt;0,COUNTIF($K$7:K78,"&gt;0"),"")</f>
      </c>
      <c r="P78" t="s">
        <v>244</v>
      </c>
      <c r="Q78" t="s">
        <v>244</v>
      </c>
    </row>
    <row r="79" spans="1:18" customHeight="1" ht="58">
      <c r="A79" s="16"/>
      <c r="B79" s="18" t="s">
        <v>247</v>
      </c>
      <c r="C79" s="17" t="s">
        <v>248</v>
      </c>
      <c r="D79" s="17" t="s">
        <v>249</v>
      </c>
      <c r="E79" s="17" t="s">
        <v>250</v>
      </c>
      <c r="F79" s="19"/>
      <c r="G79" s="20">
        <v>1.0</v>
      </c>
      <c r="H79" s="21"/>
      <c r="I79" s="21">
        <v>222.0</v>
      </c>
      <c r="J79" s="22">
        <v>9.0</v>
      </c>
      <c r="K79" s="50"/>
      <c r="L79" s="21" t="str">
        <f>IF(K79&gt;0,K79*I79,"")</f>
      </c>
      <c r="M79" s="52"/>
      <c r="N79" t="str">
        <f>IF(K79&gt;0,COUNTIF($K$7:K79,"&gt;0"),"")</f>
      </c>
      <c r="P79" t="s">
        <v>246</v>
      </c>
      <c r="Q79" t="s">
        <v>246</v>
      </c>
    </row>
    <row r="80" spans="1:18" customHeight="1" ht="58">
      <c r="A80" s="16"/>
      <c r="B80" s="18" t="s">
        <v>247</v>
      </c>
      <c r="C80" s="17" t="s">
        <v>248</v>
      </c>
      <c r="D80" s="17" t="s">
        <v>252</v>
      </c>
      <c r="E80" s="17" t="s">
        <v>250</v>
      </c>
      <c r="F80" s="19"/>
      <c r="G80" s="20">
        <v>1.0</v>
      </c>
      <c r="H80" s="21"/>
      <c r="I80" s="21">
        <v>222.0</v>
      </c>
      <c r="J80" s="22">
        <v>9.0</v>
      </c>
      <c r="K80" s="50"/>
      <c r="L80" s="21" t="str">
        <f>IF(K80&gt;0,K80*I80,"")</f>
      </c>
      <c r="M80" s="52"/>
      <c r="N80" t="str">
        <f>IF(K80&gt;0,COUNTIF($K$7:K80,"&gt;0"),"")</f>
      </c>
      <c r="P80" t="s">
        <v>251</v>
      </c>
      <c r="Q80" t="s">
        <v>251</v>
      </c>
    </row>
    <row r="81" spans="1:18" customHeight="1" ht="58">
      <c r="A81" s="16"/>
      <c r="B81" s="18" t="s">
        <v>247</v>
      </c>
      <c r="C81" s="17" t="s">
        <v>248</v>
      </c>
      <c r="D81" s="17" t="s">
        <v>254</v>
      </c>
      <c r="E81" s="17" t="s">
        <v>250</v>
      </c>
      <c r="F81" s="19"/>
      <c r="G81" s="20">
        <v>1.0</v>
      </c>
      <c r="H81" s="21"/>
      <c r="I81" s="21">
        <v>222.0</v>
      </c>
      <c r="J81" s="22">
        <v>9.0</v>
      </c>
      <c r="K81" s="50"/>
      <c r="L81" s="21" t="str">
        <f>IF(K81&gt;0,K81*I81,"")</f>
      </c>
      <c r="M81" s="52"/>
      <c r="N81" t="str">
        <f>IF(K81&gt;0,COUNTIF($K$7:K81,"&gt;0"),"")</f>
      </c>
      <c r="P81" t="s">
        <v>253</v>
      </c>
      <c r="Q81" t="s">
        <v>253</v>
      </c>
    </row>
    <row r="82" spans="1:18" customHeight="1" ht="58">
      <c r="A82" s="16"/>
      <c r="B82" s="18" t="s">
        <v>247</v>
      </c>
      <c r="C82" s="17" t="s">
        <v>248</v>
      </c>
      <c r="D82" s="17" t="s">
        <v>256</v>
      </c>
      <c r="E82" s="17" t="s">
        <v>250</v>
      </c>
      <c r="F82" s="19"/>
      <c r="G82" s="20">
        <v>1.0</v>
      </c>
      <c r="H82" s="21"/>
      <c r="I82" s="21">
        <v>222.0</v>
      </c>
      <c r="J82" s="22">
        <v>9.0</v>
      </c>
      <c r="K82" s="50"/>
      <c r="L82" s="21" t="str">
        <f>IF(K82&gt;0,K82*I82,"")</f>
      </c>
      <c r="M82" s="52"/>
      <c r="N82" t="str">
        <f>IF(K82&gt;0,COUNTIF($K$7:K82,"&gt;0"),"")</f>
      </c>
      <c r="P82" t="s">
        <v>255</v>
      </c>
      <c r="Q82" t="s">
        <v>255</v>
      </c>
    </row>
    <row r="83" spans="1:18" customHeight="1" ht="58">
      <c r="A83" s="16"/>
      <c r="B83" s="18" t="s">
        <v>247</v>
      </c>
      <c r="C83" s="17" t="s">
        <v>248</v>
      </c>
      <c r="D83" s="17" t="s">
        <v>258</v>
      </c>
      <c r="E83" s="17" t="s">
        <v>250</v>
      </c>
      <c r="F83" s="19"/>
      <c r="G83" s="20">
        <v>1.0</v>
      </c>
      <c r="H83" s="21"/>
      <c r="I83" s="21">
        <v>222.0</v>
      </c>
      <c r="J83" s="22">
        <v>9.0</v>
      </c>
      <c r="K83" s="50"/>
      <c r="L83" s="21" t="str">
        <f>IF(K83&gt;0,K83*I83,"")</f>
      </c>
      <c r="M83" s="52"/>
      <c r="N83" t="str">
        <f>IF(K83&gt;0,COUNTIF($K$7:K83,"&gt;0"),"")</f>
      </c>
      <c r="P83" t="s">
        <v>257</v>
      </c>
      <c r="Q83" t="s">
        <v>257</v>
      </c>
    </row>
    <row r="84" spans="1:18" customHeight="1" ht="58">
      <c r="A84" s="16"/>
      <c r="B84" s="18" t="s">
        <v>260</v>
      </c>
      <c r="C84" s="17" t="s">
        <v>248</v>
      </c>
      <c r="D84" s="17" t="s">
        <v>254</v>
      </c>
      <c r="E84" s="17" t="s">
        <v>261</v>
      </c>
      <c r="F84" s="19"/>
      <c r="G84" s="20">
        <v>1.0</v>
      </c>
      <c r="H84" s="21"/>
      <c r="I84" s="21">
        <v>292.0</v>
      </c>
      <c r="J84" s="22">
        <v>9.0</v>
      </c>
      <c r="K84" s="50"/>
      <c r="L84" s="21" t="str">
        <f>IF(K84&gt;0,K84*I84,"")</f>
      </c>
      <c r="M84" s="52"/>
      <c r="N84" t="str">
        <f>IF(K84&gt;0,COUNTIF($K$7:K84,"&gt;0"),"")</f>
      </c>
      <c r="P84" t="s">
        <v>259</v>
      </c>
      <c r="Q84" t="s">
        <v>259</v>
      </c>
    </row>
    <row r="85" spans="1:18" customHeight="1" ht="58">
      <c r="A85" s="16"/>
      <c r="B85" s="18" t="s">
        <v>260</v>
      </c>
      <c r="C85" s="17" t="s">
        <v>248</v>
      </c>
      <c r="D85" s="17" t="s">
        <v>252</v>
      </c>
      <c r="E85" s="17" t="s">
        <v>261</v>
      </c>
      <c r="F85" s="19"/>
      <c r="G85" s="20">
        <v>1.0</v>
      </c>
      <c r="H85" s="21"/>
      <c r="I85" s="21">
        <v>292.0</v>
      </c>
      <c r="J85" s="22">
        <v>9.0</v>
      </c>
      <c r="K85" s="50"/>
      <c r="L85" s="21" t="str">
        <f>IF(K85&gt;0,K85*I85,"")</f>
      </c>
      <c r="M85" s="52"/>
      <c r="N85" t="str">
        <f>IF(K85&gt;0,COUNTIF($K$7:K85,"&gt;0"),"")</f>
      </c>
      <c r="P85" t="s">
        <v>262</v>
      </c>
      <c r="Q85" t="s">
        <v>262</v>
      </c>
    </row>
    <row r="86" spans="1:18" customHeight="1" ht="58">
      <c r="A86" s="16"/>
      <c r="B86" s="18" t="s">
        <v>260</v>
      </c>
      <c r="C86" s="17" t="s">
        <v>248</v>
      </c>
      <c r="D86" s="17" t="s">
        <v>256</v>
      </c>
      <c r="E86" s="17" t="s">
        <v>261</v>
      </c>
      <c r="F86" s="19"/>
      <c r="G86" s="20">
        <v>1.0</v>
      </c>
      <c r="H86" s="21"/>
      <c r="I86" s="21">
        <v>292.0</v>
      </c>
      <c r="J86" s="22">
        <v>9.0</v>
      </c>
      <c r="K86" s="50"/>
      <c r="L86" s="21" t="str">
        <f>IF(K86&gt;0,K86*I86,"")</f>
      </c>
      <c r="M86" s="52"/>
      <c r="N86" t="str">
        <f>IF(K86&gt;0,COUNTIF($K$7:K86,"&gt;0"),"")</f>
      </c>
      <c r="P86" t="s">
        <v>263</v>
      </c>
      <c r="Q86" t="s">
        <v>263</v>
      </c>
    </row>
    <row r="87" spans="1:18" customHeight="1" ht="58">
      <c r="A87" s="16"/>
      <c r="B87" s="18" t="s">
        <v>260</v>
      </c>
      <c r="C87" s="17" t="s">
        <v>248</v>
      </c>
      <c r="D87" s="17" t="s">
        <v>258</v>
      </c>
      <c r="E87" s="17" t="s">
        <v>261</v>
      </c>
      <c r="F87" s="19"/>
      <c r="G87" s="20">
        <v>1.0</v>
      </c>
      <c r="H87" s="21"/>
      <c r="I87" s="21">
        <v>292.0</v>
      </c>
      <c r="J87" s="22">
        <v>9.0</v>
      </c>
      <c r="K87" s="50"/>
      <c r="L87" s="21" t="str">
        <f>IF(K87&gt;0,K87*I87,"")</f>
      </c>
      <c r="M87" s="52"/>
      <c r="N87" t="str">
        <f>IF(K87&gt;0,COUNTIF($K$7:K87,"&gt;0"),"")</f>
      </c>
      <c r="P87" t="s">
        <v>264</v>
      </c>
      <c r="Q87" t="s">
        <v>264</v>
      </c>
    </row>
    <row r="88" spans="1:18" customHeight="1" ht="58">
      <c r="A88" s="16"/>
      <c r="B88" s="18" t="s">
        <v>260</v>
      </c>
      <c r="C88" s="17" t="s">
        <v>248</v>
      </c>
      <c r="D88" s="17" t="s">
        <v>249</v>
      </c>
      <c r="E88" s="17" t="s">
        <v>261</v>
      </c>
      <c r="F88" s="19"/>
      <c r="G88" s="20">
        <v>1.0</v>
      </c>
      <c r="H88" s="21"/>
      <c r="I88" s="21">
        <v>292.0</v>
      </c>
      <c r="J88" s="22">
        <v>9.0</v>
      </c>
      <c r="K88" s="50"/>
      <c r="L88" s="21" t="str">
        <f>IF(K88&gt;0,K88*I88,"")</f>
      </c>
      <c r="M88" s="52"/>
      <c r="N88" t="str">
        <f>IF(K88&gt;0,COUNTIF($K$7:K88,"&gt;0"),"")</f>
      </c>
      <c r="P88" t="s">
        <v>265</v>
      </c>
      <c r="Q88" t="s">
        <v>265</v>
      </c>
    </row>
    <row r="89" spans="1:18" customHeight="1" ht="58">
      <c r="A89" s="16"/>
      <c r="B89" s="18" t="s">
        <v>267</v>
      </c>
      <c r="C89" s="17" t="s">
        <v>248</v>
      </c>
      <c r="D89" s="17" t="s">
        <v>252</v>
      </c>
      <c r="E89" s="17" t="s">
        <v>268</v>
      </c>
      <c r="F89" s="19"/>
      <c r="G89" s="20">
        <v>1.0</v>
      </c>
      <c r="H89" s="21"/>
      <c r="I89" s="21">
        <v>425.0</v>
      </c>
      <c r="J89" s="22">
        <v>8.0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269</v>
      </c>
      <c r="P89" t="s">
        <v>266</v>
      </c>
      <c r="Q89" t="s">
        <v>266</v>
      </c>
    </row>
    <row r="90" spans="1:18" customHeight="1" ht="58">
      <c r="A90" s="16"/>
      <c r="B90" s="18" t="s">
        <v>267</v>
      </c>
      <c r="C90" s="17" t="s">
        <v>248</v>
      </c>
      <c r="D90" s="17" t="s">
        <v>258</v>
      </c>
      <c r="E90" s="17" t="s">
        <v>268</v>
      </c>
      <c r="F90" s="19"/>
      <c r="G90" s="20">
        <v>1.0</v>
      </c>
      <c r="H90" s="21"/>
      <c r="I90" s="21">
        <v>425.0</v>
      </c>
      <c r="J90" s="22">
        <v>8.0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269</v>
      </c>
      <c r="P90" t="s">
        <v>270</v>
      </c>
      <c r="Q90" t="s">
        <v>270</v>
      </c>
    </row>
    <row r="91" spans="1:18" customHeight="1" ht="58">
      <c r="A91" s="16"/>
      <c r="B91" s="18" t="s">
        <v>267</v>
      </c>
      <c r="C91" s="17" t="s">
        <v>248</v>
      </c>
      <c r="D91" s="17" t="s">
        <v>254</v>
      </c>
      <c r="E91" s="17" t="s">
        <v>268</v>
      </c>
      <c r="F91" s="19"/>
      <c r="G91" s="20">
        <v>1.0</v>
      </c>
      <c r="H91" s="21"/>
      <c r="I91" s="21">
        <v>425.0</v>
      </c>
      <c r="J91" s="22">
        <v>8.0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269</v>
      </c>
      <c r="P91" t="s">
        <v>271</v>
      </c>
      <c r="Q91" t="s">
        <v>271</v>
      </c>
    </row>
    <row r="92" spans="1:18" customHeight="1" ht="58">
      <c r="A92" s="16"/>
      <c r="B92" s="18" t="s">
        <v>267</v>
      </c>
      <c r="C92" s="17" t="s">
        <v>248</v>
      </c>
      <c r="D92" s="17" t="s">
        <v>256</v>
      </c>
      <c r="E92" s="17" t="s">
        <v>268</v>
      </c>
      <c r="F92" s="19"/>
      <c r="G92" s="20">
        <v>1.0</v>
      </c>
      <c r="H92" s="21"/>
      <c r="I92" s="21">
        <v>425.0</v>
      </c>
      <c r="J92" s="22">
        <v>33.0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273</v>
      </c>
      <c r="P92" t="s">
        <v>272</v>
      </c>
      <c r="Q92" t="s">
        <v>272</v>
      </c>
    </row>
    <row r="93" spans="1:18" customHeight="1" ht="58">
      <c r="A93" s="16"/>
      <c r="B93" s="18" t="s">
        <v>275</v>
      </c>
      <c r="C93" s="17" t="s">
        <v>248</v>
      </c>
      <c r="D93" s="17" t="s">
        <v>249</v>
      </c>
      <c r="E93" s="17" t="s">
        <v>276</v>
      </c>
      <c r="F93" s="19"/>
      <c r="G93" s="20">
        <v>1.0</v>
      </c>
      <c r="H93" s="21"/>
      <c r="I93" s="21">
        <v>780.0</v>
      </c>
      <c r="J93" s="22">
        <v>16.0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277</v>
      </c>
      <c r="P93" t="s">
        <v>274</v>
      </c>
      <c r="Q93" t="s">
        <v>274</v>
      </c>
    </row>
    <row r="94" spans="1:18" customHeight="1" ht="58">
      <c r="A94" s="16"/>
      <c r="B94" s="18" t="s">
        <v>275</v>
      </c>
      <c r="C94" s="17" t="s">
        <v>248</v>
      </c>
      <c r="D94" s="17" t="s">
        <v>279</v>
      </c>
      <c r="E94" s="17" t="s">
        <v>276</v>
      </c>
      <c r="F94" s="19"/>
      <c r="G94" s="20">
        <v>1.0</v>
      </c>
      <c r="H94" s="21"/>
      <c r="I94" s="21">
        <v>780.0</v>
      </c>
      <c r="J94" s="22">
        <v>2.0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280</v>
      </c>
      <c r="P94" t="s">
        <v>278</v>
      </c>
      <c r="Q94" t="s">
        <v>278</v>
      </c>
    </row>
    <row r="95" spans="1:18" customHeight="1" ht="58">
      <c r="A95" s="16"/>
      <c r="B95" s="18" t="s">
        <v>275</v>
      </c>
      <c r="C95" s="17" t="s">
        <v>248</v>
      </c>
      <c r="D95" s="17" t="s">
        <v>258</v>
      </c>
      <c r="E95" s="17" t="s">
        <v>276</v>
      </c>
      <c r="F95" s="19"/>
      <c r="G95" s="20">
        <v>1.0</v>
      </c>
      <c r="H95" s="21"/>
      <c r="I95" s="21">
        <v>780.0</v>
      </c>
      <c r="J95" s="22">
        <v>3.0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277</v>
      </c>
      <c r="P95" t="s">
        <v>281</v>
      </c>
      <c r="Q95" t="s">
        <v>281</v>
      </c>
    </row>
    <row r="96" spans="1:18" customHeight="1" ht="58">
      <c r="A96" s="16"/>
      <c r="B96" s="18" t="s">
        <v>275</v>
      </c>
      <c r="C96" s="17" t="s">
        <v>248</v>
      </c>
      <c r="D96" s="17" t="s">
        <v>256</v>
      </c>
      <c r="E96" s="17" t="s">
        <v>276</v>
      </c>
      <c r="F96" s="19"/>
      <c r="G96" s="20">
        <v>1.0</v>
      </c>
      <c r="H96" s="21"/>
      <c r="I96" s="21">
        <v>780.0</v>
      </c>
      <c r="J96" s="22">
        <v>18.0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277</v>
      </c>
      <c r="P96" t="s">
        <v>282</v>
      </c>
      <c r="Q96" t="s">
        <v>282</v>
      </c>
    </row>
    <row r="97" spans="1:18" customHeight="1" ht="58">
      <c r="A97" s="16"/>
      <c r="B97" s="18" t="s">
        <v>275</v>
      </c>
      <c r="C97" s="17" t="s">
        <v>248</v>
      </c>
      <c r="D97" s="17" t="s">
        <v>252</v>
      </c>
      <c r="E97" s="17" t="s">
        <v>276</v>
      </c>
      <c r="F97" s="19"/>
      <c r="G97" s="20">
        <v>1.0</v>
      </c>
      <c r="H97" s="21"/>
      <c r="I97" s="21">
        <v>780.0</v>
      </c>
      <c r="J97" s="22">
        <v>8.0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284</v>
      </c>
      <c r="P97" t="s">
        <v>283</v>
      </c>
      <c r="Q97" t="s">
        <v>283</v>
      </c>
    </row>
    <row r="98" spans="1:18" customHeight="1" ht="58">
      <c r="A98" s="16"/>
      <c r="B98" s="18" t="s">
        <v>275</v>
      </c>
      <c r="C98" s="17" t="s">
        <v>248</v>
      </c>
      <c r="D98" s="17" t="s">
        <v>254</v>
      </c>
      <c r="E98" s="17" t="s">
        <v>276</v>
      </c>
      <c r="F98" s="19"/>
      <c r="G98" s="20">
        <v>1.0</v>
      </c>
      <c r="H98" s="21"/>
      <c r="I98" s="21">
        <v>780.0</v>
      </c>
      <c r="J98" s="22">
        <v>18.0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286</v>
      </c>
      <c r="P98" t="s">
        <v>285</v>
      </c>
      <c r="Q98" t="s">
        <v>285</v>
      </c>
    </row>
    <row r="99" spans="1:18" customHeight="1" ht="58">
      <c r="A99" s="16"/>
      <c r="B99" s="18" t="s">
        <v>288</v>
      </c>
      <c r="C99" s="17" t="s">
        <v>248</v>
      </c>
      <c r="D99" s="17" t="s">
        <v>279</v>
      </c>
      <c r="E99" s="17" t="s">
        <v>289</v>
      </c>
      <c r="F99" s="19"/>
      <c r="G99" s="20">
        <v>1.0</v>
      </c>
      <c r="H99" s="21"/>
      <c r="I99" s="21">
        <v>1135.0</v>
      </c>
      <c r="J99" s="22">
        <v>5.0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290</v>
      </c>
      <c r="P99" t="s">
        <v>287</v>
      </c>
      <c r="Q99" t="s">
        <v>287</v>
      </c>
    </row>
    <row r="100" spans="1:18" customHeight="1" ht="58">
      <c r="A100" s="16"/>
      <c r="B100" s="18" t="s">
        <v>288</v>
      </c>
      <c r="C100" s="17" t="s">
        <v>248</v>
      </c>
      <c r="D100" s="17" t="s">
        <v>256</v>
      </c>
      <c r="E100" s="17" t="s">
        <v>289</v>
      </c>
      <c r="F100" s="19"/>
      <c r="G100" s="20">
        <v>1.0</v>
      </c>
      <c r="H100" s="21"/>
      <c r="I100" s="21">
        <v>1135.0</v>
      </c>
      <c r="J100" s="22">
        <v>20.0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292</v>
      </c>
      <c r="P100" t="s">
        <v>291</v>
      </c>
      <c r="Q100" t="s">
        <v>291</v>
      </c>
    </row>
    <row r="101" spans="1:18" customHeight="1" ht="58">
      <c r="A101" s="16"/>
      <c r="B101" s="18" t="s">
        <v>288</v>
      </c>
      <c r="C101" s="17" t="s">
        <v>248</v>
      </c>
      <c r="D101" s="17" t="s">
        <v>252</v>
      </c>
      <c r="E101" s="17" t="s">
        <v>289</v>
      </c>
      <c r="F101" s="19"/>
      <c r="G101" s="20">
        <v>1.0</v>
      </c>
      <c r="H101" s="21"/>
      <c r="I101" s="21">
        <v>1135.0</v>
      </c>
      <c r="J101" s="22">
        <v>4.0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292</v>
      </c>
      <c r="P101" t="s">
        <v>293</v>
      </c>
      <c r="Q101" t="s">
        <v>293</v>
      </c>
    </row>
    <row r="102" spans="1:18" customHeight="1" ht="58">
      <c r="A102" s="16"/>
      <c r="B102" s="18" t="s">
        <v>288</v>
      </c>
      <c r="C102" s="17" t="s">
        <v>248</v>
      </c>
      <c r="D102" s="17" t="s">
        <v>258</v>
      </c>
      <c r="E102" s="17" t="s">
        <v>289</v>
      </c>
      <c r="F102" s="19"/>
      <c r="G102" s="20">
        <v>1.0</v>
      </c>
      <c r="H102" s="21"/>
      <c r="I102" s="21">
        <v>1135.0</v>
      </c>
      <c r="J102" s="22">
        <v>14.0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292</v>
      </c>
      <c r="P102" t="s">
        <v>294</v>
      </c>
      <c r="Q102" t="s">
        <v>294</v>
      </c>
    </row>
    <row r="103" spans="1:18" customHeight="1" ht="58">
      <c r="A103" s="16"/>
      <c r="B103" s="18" t="s">
        <v>288</v>
      </c>
      <c r="C103" s="17" t="s">
        <v>248</v>
      </c>
      <c r="D103" s="17" t="s">
        <v>249</v>
      </c>
      <c r="E103" s="17" t="s">
        <v>289</v>
      </c>
      <c r="F103" s="19"/>
      <c r="G103" s="20">
        <v>1.0</v>
      </c>
      <c r="H103" s="21"/>
      <c r="I103" s="21">
        <v>1135.0</v>
      </c>
      <c r="J103" s="22">
        <v>4.0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292</v>
      </c>
      <c r="P103" t="s">
        <v>295</v>
      </c>
      <c r="Q103" t="s">
        <v>295</v>
      </c>
    </row>
    <row r="104" spans="1:18" customHeight="1" ht="58">
      <c r="A104" s="16"/>
      <c r="B104" s="18" t="s">
        <v>288</v>
      </c>
      <c r="C104" s="17" t="s">
        <v>248</v>
      </c>
      <c r="D104" s="17" t="s">
        <v>254</v>
      </c>
      <c r="E104" s="17" t="s">
        <v>289</v>
      </c>
      <c r="F104" s="19"/>
      <c r="G104" s="20">
        <v>1.0</v>
      </c>
      <c r="H104" s="21"/>
      <c r="I104" s="21">
        <v>1135.0</v>
      </c>
      <c r="J104" s="22">
        <v>19.0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292</v>
      </c>
      <c r="P104" t="s">
        <v>296</v>
      </c>
      <c r="Q104" t="s">
        <v>296</v>
      </c>
    </row>
    <row r="105" spans="1:18" customHeight="1" ht="58">
      <c r="A105" s="16"/>
      <c r="B105" s="18" t="s">
        <v>298</v>
      </c>
      <c r="C105" s="17" t="s">
        <v>248</v>
      </c>
      <c r="D105" s="17" t="s">
        <v>93</v>
      </c>
      <c r="E105" s="17" t="s">
        <v>299</v>
      </c>
      <c r="F105" s="19"/>
      <c r="G105" s="20">
        <v>1.0</v>
      </c>
      <c r="H105" s="21"/>
      <c r="I105" s="21">
        <v>2230.0</v>
      </c>
      <c r="J105" s="22">
        <v>3.0</v>
      </c>
      <c r="K105" s="50"/>
      <c r="L105" s="21" t="str">
        <f>IF(K105&gt;0,K105*I105,"")</f>
      </c>
      <c r="M105" s="52"/>
      <c r="N105" t="str">
        <f>IF(K105&gt;0,COUNTIF($K$7:K105,"&gt;0"),"")</f>
      </c>
      <c r="P105" t="s">
        <v>297</v>
      </c>
      <c r="Q105" t="s">
        <v>297</v>
      </c>
    </row>
    <row r="106" spans="1:18" customHeight="1" ht="58">
      <c r="A106" s="16"/>
      <c r="B106" s="18" t="s">
        <v>298</v>
      </c>
      <c r="C106" s="17" t="s">
        <v>248</v>
      </c>
      <c r="D106" s="17" t="s">
        <v>85</v>
      </c>
      <c r="E106" s="17" t="s">
        <v>299</v>
      </c>
      <c r="F106" s="19"/>
      <c r="G106" s="20">
        <v>1.0</v>
      </c>
      <c r="H106" s="21"/>
      <c r="I106" s="21">
        <v>2230.0</v>
      </c>
      <c r="J106" s="22">
        <v>2.0</v>
      </c>
      <c r="K106" s="50"/>
      <c r="L106" s="21" t="str">
        <f>IF(K106&gt;0,K106*I106,"")</f>
      </c>
      <c r="M106" s="52"/>
      <c r="N106" t="str">
        <f>IF(K106&gt;0,COUNTIF($K$7:K106,"&gt;0"),"")</f>
      </c>
      <c r="P106" t="s">
        <v>300</v>
      </c>
      <c r="Q106" t="s">
        <v>300</v>
      </c>
    </row>
    <row r="107" spans="1:18" customHeight="1" ht="58">
      <c r="A107" s="16"/>
      <c r="B107" s="18" t="s">
        <v>298</v>
      </c>
      <c r="C107" s="17" t="s">
        <v>248</v>
      </c>
      <c r="D107" s="17" t="s">
        <v>302</v>
      </c>
      <c r="E107" s="17" t="s">
        <v>299</v>
      </c>
      <c r="F107" s="19"/>
      <c r="G107" s="20">
        <v>1.0</v>
      </c>
      <c r="H107" s="21"/>
      <c r="I107" s="21">
        <v>2230.0</v>
      </c>
      <c r="J107" s="22">
        <v>2.0</v>
      </c>
      <c r="K107" s="50"/>
      <c r="L107" s="21" t="str">
        <f>IF(K107&gt;0,K107*I107,"")</f>
      </c>
      <c r="M107" s="52"/>
      <c r="N107" t="str">
        <f>IF(K107&gt;0,COUNTIF($K$7:K107,"&gt;0"),"")</f>
      </c>
      <c r="P107" t="s">
        <v>301</v>
      </c>
      <c r="Q107" t="s">
        <v>301</v>
      </c>
    </row>
    <row r="108" spans="1:18" customHeight="1" ht="58">
      <c r="A108" s="16"/>
      <c r="B108" s="18" t="s">
        <v>304</v>
      </c>
      <c r="C108" s="17" t="s">
        <v>305</v>
      </c>
      <c r="D108" s="17" t="s">
        <v>40</v>
      </c>
      <c r="E108" s="17" t="s">
        <v>306</v>
      </c>
      <c r="F108" s="19"/>
      <c r="G108" s="20">
        <v>1.0</v>
      </c>
      <c r="H108" s="21"/>
      <c r="I108" s="21">
        <v>717.0</v>
      </c>
      <c r="J108" s="22">
        <v>3.0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307</v>
      </c>
      <c r="P108" t="s">
        <v>303</v>
      </c>
      <c r="Q108" t="s">
        <v>303</v>
      </c>
    </row>
    <row r="109" spans="1:18" customHeight="1" ht="58">
      <c r="A109" s="16"/>
      <c r="B109" s="18" t="s">
        <v>304</v>
      </c>
      <c r="C109" s="17" t="s">
        <v>305</v>
      </c>
      <c r="D109" s="17" t="s">
        <v>85</v>
      </c>
      <c r="E109" s="17" t="s">
        <v>306</v>
      </c>
      <c r="F109" s="19"/>
      <c r="G109" s="20">
        <v>1.0</v>
      </c>
      <c r="H109" s="21"/>
      <c r="I109" s="21">
        <v>717.0</v>
      </c>
      <c r="J109" s="22">
        <v>4.0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309</v>
      </c>
      <c r="P109" t="s">
        <v>308</v>
      </c>
      <c r="Q109" t="s">
        <v>308</v>
      </c>
    </row>
    <row r="110" spans="1:18" customHeight="1" ht="58">
      <c r="A110" s="16"/>
      <c r="B110" s="18" t="s">
        <v>311</v>
      </c>
      <c r="C110" s="17" t="s">
        <v>305</v>
      </c>
      <c r="D110" s="17" t="s">
        <v>312</v>
      </c>
      <c r="E110" s="17" t="s">
        <v>313</v>
      </c>
      <c r="F110" s="19"/>
      <c r="G110" s="20">
        <v>1.0</v>
      </c>
      <c r="H110" s="21"/>
      <c r="I110" s="21">
        <v>971.0</v>
      </c>
      <c r="J110" s="22">
        <v>3.0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314</v>
      </c>
      <c r="P110" t="s">
        <v>310</v>
      </c>
      <c r="Q110" t="s">
        <v>310</v>
      </c>
    </row>
    <row r="111" spans="1:18" customHeight="1" ht="58">
      <c r="A111" s="16"/>
      <c r="B111" s="18" t="s">
        <v>311</v>
      </c>
      <c r="C111" s="17" t="s">
        <v>305</v>
      </c>
      <c r="D111" s="17" t="s">
        <v>316</v>
      </c>
      <c r="E111" s="17" t="s">
        <v>313</v>
      </c>
      <c r="F111" s="19"/>
      <c r="G111" s="20">
        <v>1.0</v>
      </c>
      <c r="H111" s="21"/>
      <c r="I111" s="21">
        <v>971.0</v>
      </c>
      <c r="J111" s="22">
        <v>2.0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317</v>
      </c>
      <c r="P111" t="s">
        <v>315</v>
      </c>
      <c r="Q111" t="s">
        <v>315</v>
      </c>
    </row>
    <row r="112" spans="1:18" customHeight="1" ht="58">
      <c r="A112" s="16"/>
      <c r="B112" s="18" t="s">
        <v>311</v>
      </c>
      <c r="C112" s="17" t="s">
        <v>305</v>
      </c>
      <c r="D112" s="17" t="s">
        <v>319</v>
      </c>
      <c r="E112" s="17" t="s">
        <v>313</v>
      </c>
      <c r="F112" s="19"/>
      <c r="G112" s="20">
        <v>1.0</v>
      </c>
      <c r="H112" s="21"/>
      <c r="I112" s="21">
        <v>971.0</v>
      </c>
      <c r="J112" s="22">
        <v>2.0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320</v>
      </c>
      <c r="P112" t="s">
        <v>318</v>
      </c>
      <c r="Q112" t="s">
        <v>318</v>
      </c>
    </row>
    <row r="113" spans="1:18" customHeight="1" ht="58">
      <c r="A113" s="16"/>
      <c r="B113" s="18" t="s">
        <v>322</v>
      </c>
      <c r="C113" s="17" t="s">
        <v>323</v>
      </c>
      <c r="D113" s="17" t="s">
        <v>324</v>
      </c>
      <c r="E113" s="17" t="s">
        <v>325</v>
      </c>
      <c r="F113" s="19"/>
      <c r="G113" s="20">
        <v>1.0</v>
      </c>
      <c r="H113" s="21"/>
      <c r="I113" s="21">
        <v>240.0</v>
      </c>
      <c r="J113" s="22">
        <v>2.0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326</v>
      </c>
      <c r="P113" t="s">
        <v>321</v>
      </c>
      <c r="Q113" t="s">
        <v>321</v>
      </c>
    </row>
    <row r="114" spans="1:18" customHeight="1" ht="58">
      <c r="A114" s="16"/>
      <c r="B114" s="18" t="s">
        <v>322</v>
      </c>
      <c r="C114" s="17" t="s">
        <v>323</v>
      </c>
      <c r="D114" s="17" t="s">
        <v>328</v>
      </c>
      <c r="E114" s="17" t="s">
        <v>325</v>
      </c>
      <c r="F114" s="19"/>
      <c r="G114" s="20">
        <v>1.0</v>
      </c>
      <c r="H114" s="21"/>
      <c r="I114" s="21">
        <v>240.0</v>
      </c>
      <c r="J114" s="22">
        <v>10.0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329</v>
      </c>
      <c r="P114" t="s">
        <v>327</v>
      </c>
      <c r="Q114" t="s">
        <v>327</v>
      </c>
    </row>
    <row r="115" spans="1:18" customHeight="1" ht="58">
      <c r="A115" s="16"/>
      <c r="B115" s="18" t="s">
        <v>322</v>
      </c>
      <c r="C115" s="17" t="s">
        <v>323</v>
      </c>
      <c r="D115" s="17" t="s">
        <v>331</v>
      </c>
      <c r="E115" s="17" t="s">
        <v>325</v>
      </c>
      <c r="F115" s="19"/>
      <c r="G115" s="20">
        <v>1.0</v>
      </c>
      <c r="H115" s="21"/>
      <c r="I115" s="21">
        <v>240.0</v>
      </c>
      <c r="J115" s="22">
        <v>20.0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332</v>
      </c>
      <c r="P115" t="s">
        <v>330</v>
      </c>
      <c r="Q115" t="s">
        <v>330</v>
      </c>
    </row>
    <row r="116" spans="1:18" customHeight="1" ht="58">
      <c r="A116" s="16"/>
      <c r="B116" s="18" t="s">
        <v>322</v>
      </c>
      <c r="C116" s="17" t="s">
        <v>323</v>
      </c>
      <c r="D116" s="17" t="s">
        <v>40</v>
      </c>
      <c r="E116" s="17" t="s">
        <v>325</v>
      </c>
      <c r="F116" s="19"/>
      <c r="G116" s="20">
        <v>1.0</v>
      </c>
      <c r="H116" s="21"/>
      <c r="I116" s="21">
        <v>240.0</v>
      </c>
      <c r="J116" s="22">
        <v>18.0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334</v>
      </c>
      <c r="P116" t="s">
        <v>333</v>
      </c>
      <c r="Q116" t="s">
        <v>333</v>
      </c>
    </row>
    <row r="117" spans="1:18" customHeight="1" ht="58">
      <c r="A117" s="16"/>
      <c r="B117" s="18" t="s">
        <v>322</v>
      </c>
      <c r="C117" s="17" t="s">
        <v>323</v>
      </c>
      <c r="D117" s="17" t="s">
        <v>336</v>
      </c>
      <c r="E117" s="17" t="s">
        <v>325</v>
      </c>
      <c r="F117" s="19"/>
      <c r="G117" s="20">
        <v>1.0</v>
      </c>
      <c r="H117" s="21"/>
      <c r="I117" s="21">
        <v>240.0</v>
      </c>
      <c r="J117" s="22">
        <v>21.0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337</v>
      </c>
      <c r="P117" t="s">
        <v>335</v>
      </c>
      <c r="Q117" t="s">
        <v>335</v>
      </c>
    </row>
    <row r="118" spans="1:18" customHeight="1" ht="58">
      <c r="A118" s="16"/>
      <c r="B118" s="18" t="s">
        <v>322</v>
      </c>
      <c r="C118" s="17" t="s">
        <v>323</v>
      </c>
      <c r="D118" s="17" t="s">
        <v>89</v>
      </c>
      <c r="E118" s="17" t="s">
        <v>325</v>
      </c>
      <c r="F118" s="19"/>
      <c r="G118" s="20">
        <v>1.0</v>
      </c>
      <c r="H118" s="21"/>
      <c r="I118" s="21">
        <v>240.0</v>
      </c>
      <c r="J118" s="22">
        <v>20.0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339</v>
      </c>
      <c r="P118" t="s">
        <v>338</v>
      </c>
      <c r="Q118" t="s">
        <v>338</v>
      </c>
    </row>
    <row r="119" spans="1:18" customHeight="1" ht="58">
      <c r="A119" s="16"/>
      <c r="B119" s="18" t="s">
        <v>322</v>
      </c>
      <c r="C119" s="17" t="s">
        <v>323</v>
      </c>
      <c r="D119" s="17" t="s">
        <v>85</v>
      </c>
      <c r="E119" s="17" t="s">
        <v>325</v>
      </c>
      <c r="F119" s="19"/>
      <c r="G119" s="20">
        <v>1.0</v>
      </c>
      <c r="H119" s="21"/>
      <c r="I119" s="21">
        <v>240.0</v>
      </c>
      <c r="J119" s="22">
        <v>20.0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341</v>
      </c>
      <c r="P119" t="s">
        <v>340</v>
      </c>
      <c r="Q119" t="s">
        <v>340</v>
      </c>
    </row>
    <row r="120" spans="1:18" customHeight="1" ht="58">
      <c r="A120" s="16"/>
      <c r="B120" s="18" t="s">
        <v>343</v>
      </c>
      <c r="C120" s="17" t="s">
        <v>344</v>
      </c>
      <c r="D120" s="17" t="s">
        <v>234</v>
      </c>
      <c r="E120" s="17" t="s">
        <v>345</v>
      </c>
      <c r="F120" s="19"/>
      <c r="G120" s="20">
        <v>1.0</v>
      </c>
      <c r="H120" s="21"/>
      <c r="I120" s="21">
        <v>176.0</v>
      </c>
      <c r="J120" s="22">
        <v>37.0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346</v>
      </c>
      <c r="P120" t="s">
        <v>342</v>
      </c>
      <c r="Q120" t="s">
        <v>342</v>
      </c>
    </row>
    <row r="121" spans="1:18" customHeight="1" ht="58">
      <c r="A121" s="16"/>
      <c r="B121" s="18" t="s">
        <v>343</v>
      </c>
      <c r="C121" s="17" t="s">
        <v>344</v>
      </c>
      <c r="D121" s="17" t="s">
        <v>85</v>
      </c>
      <c r="E121" s="17" t="s">
        <v>345</v>
      </c>
      <c r="F121" s="19"/>
      <c r="G121" s="20">
        <v>1.0</v>
      </c>
      <c r="H121" s="21"/>
      <c r="I121" s="21">
        <v>176.0</v>
      </c>
      <c r="J121" s="22">
        <v>36.0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348</v>
      </c>
      <c r="P121" t="s">
        <v>347</v>
      </c>
      <c r="Q121" t="s">
        <v>347</v>
      </c>
    </row>
    <row r="122" spans="1:18" customHeight="1" ht="58">
      <c r="A122" s="16"/>
      <c r="B122" s="18" t="s">
        <v>343</v>
      </c>
      <c r="C122" s="17" t="s">
        <v>344</v>
      </c>
      <c r="D122" s="17" t="s">
        <v>93</v>
      </c>
      <c r="E122" s="17" t="s">
        <v>345</v>
      </c>
      <c r="F122" s="19"/>
      <c r="G122" s="20">
        <v>1.0</v>
      </c>
      <c r="H122" s="21"/>
      <c r="I122" s="21">
        <v>176.0</v>
      </c>
      <c r="J122" s="22">
        <v>36.0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350</v>
      </c>
      <c r="P122" t="s">
        <v>349</v>
      </c>
      <c r="Q122" t="s">
        <v>349</v>
      </c>
    </row>
    <row r="123" spans="1:18" customHeight="1" ht="58">
      <c r="A123" s="16"/>
      <c r="B123" s="18" t="s">
        <v>343</v>
      </c>
      <c r="C123" s="17" t="s">
        <v>344</v>
      </c>
      <c r="D123" s="17" t="s">
        <v>302</v>
      </c>
      <c r="E123" s="17" t="s">
        <v>345</v>
      </c>
      <c r="F123" s="19"/>
      <c r="G123" s="20">
        <v>1.0</v>
      </c>
      <c r="H123" s="21"/>
      <c r="I123" s="21">
        <v>176.0</v>
      </c>
      <c r="J123" s="22">
        <v>44.0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352</v>
      </c>
      <c r="P123" t="s">
        <v>351</v>
      </c>
      <c r="Q123" t="s">
        <v>351</v>
      </c>
    </row>
    <row r="124" spans="1:18" customHeight="1" ht="58">
      <c r="A124" s="16"/>
      <c r="B124" s="18" t="s">
        <v>354</v>
      </c>
      <c r="C124" s="17" t="s">
        <v>344</v>
      </c>
      <c r="D124" s="17" t="s">
        <v>355</v>
      </c>
      <c r="E124" s="17" t="s">
        <v>356</v>
      </c>
      <c r="F124" s="19"/>
      <c r="G124" s="20">
        <v>1.0</v>
      </c>
      <c r="H124" s="21"/>
      <c r="I124" s="21">
        <v>242.0</v>
      </c>
      <c r="J124" s="22">
        <v>16.0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357</v>
      </c>
      <c r="P124" t="s">
        <v>353</v>
      </c>
      <c r="Q124" t="s">
        <v>353</v>
      </c>
    </row>
    <row r="125" spans="1:18" customHeight="1" ht="58">
      <c r="A125" s="16"/>
      <c r="B125" s="18" t="s">
        <v>354</v>
      </c>
      <c r="C125" s="17" t="s">
        <v>344</v>
      </c>
      <c r="D125" s="17" t="s">
        <v>89</v>
      </c>
      <c r="E125" s="17" t="s">
        <v>356</v>
      </c>
      <c r="F125" s="19"/>
      <c r="G125" s="20">
        <v>1.0</v>
      </c>
      <c r="H125" s="21"/>
      <c r="I125" s="21">
        <v>242.0</v>
      </c>
      <c r="J125" s="22">
        <v>4.0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359</v>
      </c>
      <c r="P125" t="s">
        <v>358</v>
      </c>
      <c r="Q125" t="s">
        <v>358</v>
      </c>
    </row>
    <row r="126" spans="1:18" customHeight="1" ht="58">
      <c r="A126" s="16"/>
      <c r="B126" s="18" t="s">
        <v>354</v>
      </c>
      <c r="C126" s="17" t="s">
        <v>344</v>
      </c>
      <c r="D126" s="17" t="s">
        <v>93</v>
      </c>
      <c r="E126" s="17" t="s">
        <v>356</v>
      </c>
      <c r="F126" s="19"/>
      <c r="G126" s="20">
        <v>1.0</v>
      </c>
      <c r="H126" s="21"/>
      <c r="I126" s="21">
        <v>242.0</v>
      </c>
      <c r="J126" s="22">
        <v>22.0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361</v>
      </c>
      <c r="P126" t="s">
        <v>360</v>
      </c>
      <c r="Q126" t="s">
        <v>360</v>
      </c>
    </row>
    <row r="127" spans="1:18" customHeight="1" ht="58">
      <c r="A127" s="16"/>
      <c r="B127" s="18" t="s">
        <v>354</v>
      </c>
      <c r="C127" s="17" t="s">
        <v>344</v>
      </c>
      <c r="D127" s="17" t="s">
        <v>363</v>
      </c>
      <c r="E127" s="17" t="s">
        <v>356</v>
      </c>
      <c r="F127" s="19"/>
      <c r="G127" s="20">
        <v>1.0</v>
      </c>
      <c r="H127" s="21"/>
      <c r="I127" s="21">
        <v>242.0</v>
      </c>
      <c r="J127" s="22">
        <v>3.0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364</v>
      </c>
      <c r="P127" t="s">
        <v>362</v>
      </c>
      <c r="Q127" t="s">
        <v>362</v>
      </c>
    </row>
    <row r="128" spans="1:18" customHeight="1" ht="58">
      <c r="A128" s="16"/>
      <c r="B128" s="18" t="s">
        <v>354</v>
      </c>
      <c r="C128" s="17" t="s">
        <v>344</v>
      </c>
      <c r="D128" s="17" t="s">
        <v>302</v>
      </c>
      <c r="E128" s="17" t="s">
        <v>356</v>
      </c>
      <c r="F128" s="19"/>
      <c r="G128" s="20">
        <v>1.0</v>
      </c>
      <c r="H128" s="21"/>
      <c r="I128" s="21">
        <v>242.0</v>
      </c>
      <c r="J128" s="22">
        <v>15.0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366</v>
      </c>
      <c r="P128" t="s">
        <v>365</v>
      </c>
      <c r="Q128" t="s">
        <v>365</v>
      </c>
    </row>
    <row r="129" spans="1:18" customHeight="1" ht="58">
      <c r="A129" s="16"/>
      <c r="B129" s="18" t="s">
        <v>354</v>
      </c>
      <c r="C129" s="17" t="s">
        <v>344</v>
      </c>
      <c r="D129" s="17" t="s">
        <v>85</v>
      </c>
      <c r="E129" s="17" t="s">
        <v>356</v>
      </c>
      <c r="F129" s="19"/>
      <c r="G129" s="20">
        <v>1.0</v>
      </c>
      <c r="H129" s="21"/>
      <c r="I129" s="21">
        <v>242.0</v>
      </c>
      <c r="J129" s="22">
        <v>16.0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368</v>
      </c>
      <c r="P129" t="s">
        <v>367</v>
      </c>
      <c r="Q129" t="s">
        <v>367</v>
      </c>
    </row>
    <row r="130" spans="1:18" customHeight="1" ht="58">
      <c r="A130" s="16"/>
      <c r="B130" s="18" t="s">
        <v>354</v>
      </c>
      <c r="C130" s="17" t="s">
        <v>344</v>
      </c>
      <c r="D130" s="17" t="s">
        <v>205</v>
      </c>
      <c r="E130" s="17" t="s">
        <v>356</v>
      </c>
      <c r="F130" s="19"/>
      <c r="G130" s="20">
        <v>1.0</v>
      </c>
      <c r="H130" s="21"/>
      <c r="I130" s="21">
        <v>242.0</v>
      </c>
      <c r="J130" s="22">
        <v>9.0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370</v>
      </c>
      <c r="P130" t="s">
        <v>369</v>
      </c>
      <c r="Q130" t="s">
        <v>369</v>
      </c>
    </row>
    <row r="131" spans="1:18" customHeight="1" ht="58">
      <c r="A131" s="16"/>
      <c r="B131" s="18" t="s">
        <v>372</v>
      </c>
      <c r="C131" s="17" t="s">
        <v>344</v>
      </c>
      <c r="D131" s="17" t="s">
        <v>91</v>
      </c>
      <c r="E131" s="17" t="s">
        <v>373</v>
      </c>
      <c r="F131" s="19"/>
      <c r="G131" s="20">
        <v>1.0</v>
      </c>
      <c r="H131" s="21"/>
      <c r="I131" s="21">
        <v>303.0</v>
      </c>
      <c r="J131" s="22">
        <v>3.0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374</v>
      </c>
      <c r="P131" t="s">
        <v>371</v>
      </c>
      <c r="Q131" t="s">
        <v>371</v>
      </c>
    </row>
    <row r="132" spans="1:18" customHeight="1" ht="58">
      <c r="A132" s="16"/>
      <c r="B132" s="18" t="s">
        <v>372</v>
      </c>
      <c r="C132" s="17" t="s">
        <v>344</v>
      </c>
      <c r="D132" s="17" t="s">
        <v>89</v>
      </c>
      <c r="E132" s="17" t="s">
        <v>373</v>
      </c>
      <c r="F132" s="19"/>
      <c r="G132" s="20">
        <v>1.0</v>
      </c>
      <c r="H132" s="21"/>
      <c r="I132" s="21">
        <v>303.0</v>
      </c>
      <c r="J132" s="22">
        <v>3.0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376</v>
      </c>
      <c r="P132" t="s">
        <v>375</v>
      </c>
      <c r="Q132" t="s">
        <v>375</v>
      </c>
    </row>
    <row r="133" spans="1:18" customHeight="1" ht="58">
      <c r="A133" s="16"/>
      <c r="B133" s="18" t="s">
        <v>372</v>
      </c>
      <c r="C133" s="17" t="s">
        <v>344</v>
      </c>
      <c r="D133" s="17" t="s">
        <v>205</v>
      </c>
      <c r="E133" s="17" t="s">
        <v>373</v>
      </c>
      <c r="F133" s="19"/>
      <c r="G133" s="20">
        <v>1.0</v>
      </c>
      <c r="H133" s="21"/>
      <c r="I133" s="21">
        <v>303.0</v>
      </c>
      <c r="J133" s="22">
        <v>6.0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378</v>
      </c>
      <c r="P133" t="s">
        <v>377</v>
      </c>
      <c r="Q133" t="s">
        <v>377</v>
      </c>
    </row>
    <row r="134" spans="1:18" customHeight="1" ht="58">
      <c r="A134" s="16"/>
      <c r="B134" s="18" t="s">
        <v>372</v>
      </c>
      <c r="C134" s="17" t="s">
        <v>344</v>
      </c>
      <c r="D134" s="17" t="s">
        <v>93</v>
      </c>
      <c r="E134" s="17" t="s">
        <v>373</v>
      </c>
      <c r="F134" s="19"/>
      <c r="G134" s="20">
        <v>1.0</v>
      </c>
      <c r="H134" s="21"/>
      <c r="I134" s="21">
        <v>303.0</v>
      </c>
      <c r="J134" s="22">
        <v>14.0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380</v>
      </c>
      <c r="P134" t="s">
        <v>379</v>
      </c>
      <c r="Q134" t="s">
        <v>379</v>
      </c>
    </row>
    <row r="135" spans="1:18" customHeight="1" ht="58">
      <c r="A135" s="16"/>
      <c r="B135" s="18" t="s">
        <v>372</v>
      </c>
      <c r="C135" s="17" t="s">
        <v>344</v>
      </c>
      <c r="D135" s="17" t="s">
        <v>302</v>
      </c>
      <c r="E135" s="17" t="s">
        <v>373</v>
      </c>
      <c r="F135" s="19"/>
      <c r="G135" s="20">
        <v>1.0</v>
      </c>
      <c r="H135" s="21"/>
      <c r="I135" s="21">
        <v>303.0</v>
      </c>
      <c r="J135" s="22">
        <v>15.0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382</v>
      </c>
      <c r="P135" t="s">
        <v>381</v>
      </c>
      <c r="Q135" t="s">
        <v>381</v>
      </c>
    </row>
    <row r="136" spans="1:18" customHeight="1" ht="58">
      <c r="A136" s="16"/>
      <c r="B136" s="18" t="s">
        <v>372</v>
      </c>
      <c r="C136" s="17" t="s">
        <v>344</v>
      </c>
      <c r="D136" s="17" t="s">
        <v>85</v>
      </c>
      <c r="E136" s="17" t="s">
        <v>373</v>
      </c>
      <c r="F136" s="19"/>
      <c r="G136" s="20">
        <v>1.0</v>
      </c>
      <c r="H136" s="21"/>
      <c r="I136" s="21">
        <v>303.0</v>
      </c>
      <c r="J136" s="22">
        <v>17.0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384</v>
      </c>
      <c r="P136" t="s">
        <v>383</v>
      </c>
      <c r="Q136" t="s">
        <v>383</v>
      </c>
    </row>
    <row r="137" spans="1:18" customHeight="1" ht="58">
      <c r="A137" s="16"/>
      <c r="B137" s="18" t="s">
        <v>372</v>
      </c>
      <c r="C137" s="17" t="s">
        <v>344</v>
      </c>
      <c r="D137" s="17" t="s">
        <v>363</v>
      </c>
      <c r="E137" s="17" t="s">
        <v>373</v>
      </c>
      <c r="F137" s="19"/>
      <c r="G137" s="20">
        <v>1.0</v>
      </c>
      <c r="H137" s="21"/>
      <c r="I137" s="21">
        <v>303.0</v>
      </c>
      <c r="J137" s="22">
        <v>8.0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386</v>
      </c>
      <c r="P137" t="s">
        <v>385</v>
      </c>
      <c r="Q137" t="s">
        <v>385</v>
      </c>
    </row>
    <row r="138" spans="1:18" customHeight="1" ht="58">
      <c r="A138" s="16"/>
      <c r="B138" s="18" t="s">
        <v>388</v>
      </c>
      <c r="C138" s="17" t="s">
        <v>344</v>
      </c>
      <c r="D138" s="17" t="s">
        <v>91</v>
      </c>
      <c r="E138" s="17" t="s">
        <v>389</v>
      </c>
      <c r="F138" s="19"/>
      <c r="G138" s="20">
        <v>1.0</v>
      </c>
      <c r="H138" s="21"/>
      <c r="I138" s="21">
        <v>391.0</v>
      </c>
      <c r="J138" s="22">
        <v>6.0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390</v>
      </c>
      <c r="P138" t="s">
        <v>387</v>
      </c>
      <c r="Q138" t="s">
        <v>387</v>
      </c>
    </row>
    <row r="139" spans="1:18" customHeight="1" ht="58">
      <c r="A139" s="16"/>
      <c r="B139" s="18" t="s">
        <v>388</v>
      </c>
      <c r="C139" s="17" t="s">
        <v>344</v>
      </c>
      <c r="D139" s="17" t="s">
        <v>93</v>
      </c>
      <c r="E139" s="17" t="s">
        <v>389</v>
      </c>
      <c r="F139" s="19"/>
      <c r="G139" s="20">
        <v>1.0</v>
      </c>
      <c r="H139" s="21"/>
      <c r="I139" s="21">
        <v>391.0</v>
      </c>
      <c r="J139" s="22">
        <v>6.0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392</v>
      </c>
      <c r="P139" t="s">
        <v>391</v>
      </c>
      <c r="Q139" t="s">
        <v>391</v>
      </c>
    </row>
    <row r="140" spans="1:18" customHeight="1" ht="58">
      <c r="A140" s="16"/>
      <c r="B140" s="18" t="s">
        <v>388</v>
      </c>
      <c r="C140" s="17" t="s">
        <v>344</v>
      </c>
      <c r="D140" s="17" t="s">
        <v>85</v>
      </c>
      <c r="E140" s="17" t="s">
        <v>389</v>
      </c>
      <c r="F140" s="19"/>
      <c r="G140" s="20">
        <v>1.0</v>
      </c>
      <c r="H140" s="21"/>
      <c r="I140" s="21">
        <v>391.0</v>
      </c>
      <c r="J140" s="22">
        <v>6.0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394</v>
      </c>
      <c r="P140" t="s">
        <v>393</v>
      </c>
      <c r="Q140" t="s">
        <v>393</v>
      </c>
    </row>
    <row r="141" spans="1:18" customHeight="1" ht="58">
      <c r="A141" s="16"/>
      <c r="B141" s="18" t="s">
        <v>396</v>
      </c>
      <c r="C141" s="17" t="s">
        <v>344</v>
      </c>
      <c r="D141" s="17" t="s">
        <v>302</v>
      </c>
      <c r="E141" s="17" t="s">
        <v>397</v>
      </c>
      <c r="F141" s="19"/>
      <c r="G141" s="20">
        <v>1.0</v>
      </c>
      <c r="H141" s="21"/>
      <c r="I141" s="21">
        <v>748.0</v>
      </c>
      <c r="J141" s="22">
        <v>4.0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398</v>
      </c>
      <c r="P141" t="s">
        <v>395</v>
      </c>
      <c r="Q141" t="s">
        <v>395</v>
      </c>
    </row>
    <row r="142" spans="1:18" customHeight="1" ht="58">
      <c r="A142" s="16"/>
      <c r="B142" s="18" t="s">
        <v>396</v>
      </c>
      <c r="C142" s="17" t="s">
        <v>344</v>
      </c>
      <c r="D142" s="17" t="s">
        <v>324</v>
      </c>
      <c r="E142" s="17" t="s">
        <v>397</v>
      </c>
      <c r="F142" s="19"/>
      <c r="G142" s="20">
        <v>1.0</v>
      </c>
      <c r="H142" s="21"/>
      <c r="I142" s="21">
        <v>748.0</v>
      </c>
      <c r="J142" s="22">
        <v>5.0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400</v>
      </c>
      <c r="P142" t="s">
        <v>399</v>
      </c>
      <c r="Q142" t="s">
        <v>399</v>
      </c>
    </row>
    <row r="143" spans="1:18" customHeight="1" ht="58">
      <c r="A143" s="16"/>
      <c r="B143" s="18" t="s">
        <v>396</v>
      </c>
      <c r="C143" s="17" t="s">
        <v>344</v>
      </c>
      <c r="D143" s="17" t="s">
        <v>85</v>
      </c>
      <c r="E143" s="17" t="s">
        <v>397</v>
      </c>
      <c r="F143" s="19"/>
      <c r="G143" s="20">
        <v>1.0</v>
      </c>
      <c r="H143" s="21"/>
      <c r="I143" s="21">
        <v>748.0</v>
      </c>
      <c r="J143" s="22">
        <v>4.0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402</v>
      </c>
      <c r="P143" t="s">
        <v>401</v>
      </c>
      <c r="Q143" t="s">
        <v>401</v>
      </c>
    </row>
    <row r="144" spans="1:18" customHeight="1" ht="58">
      <c r="A144" s="16"/>
      <c r="B144" s="18" t="s">
        <v>396</v>
      </c>
      <c r="C144" s="17" t="s">
        <v>344</v>
      </c>
      <c r="D144" s="17" t="s">
        <v>93</v>
      </c>
      <c r="E144" s="17" t="s">
        <v>397</v>
      </c>
      <c r="F144" s="19"/>
      <c r="G144" s="20">
        <v>1.0</v>
      </c>
      <c r="H144" s="21"/>
      <c r="I144" s="21">
        <v>748.0</v>
      </c>
      <c r="J144" s="22">
        <v>4.0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404</v>
      </c>
      <c r="P144" t="s">
        <v>403</v>
      </c>
      <c r="Q144" t="s">
        <v>403</v>
      </c>
    </row>
    <row r="145" spans="1:18" customHeight="1" ht="58">
      <c r="A145" s="16"/>
      <c r="B145" s="18" t="s">
        <v>396</v>
      </c>
      <c r="C145" s="17" t="s">
        <v>344</v>
      </c>
      <c r="D145" s="17" t="s">
        <v>91</v>
      </c>
      <c r="E145" s="17" t="s">
        <v>397</v>
      </c>
      <c r="F145" s="19"/>
      <c r="G145" s="20">
        <v>1.0</v>
      </c>
      <c r="H145" s="21"/>
      <c r="I145" s="21">
        <v>748.0</v>
      </c>
      <c r="J145" s="22">
        <v>4.0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406</v>
      </c>
      <c r="P145" t="s">
        <v>405</v>
      </c>
      <c r="Q145" t="s">
        <v>405</v>
      </c>
    </row>
    <row r="146" spans="1:18" customHeight="1" ht="58">
      <c r="A146" s="16"/>
      <c r="B146" s="18" t="s">
        <v>408</v>
      </c>
      <c r="C146" s="17" t="s">
        <v>344</v>
      </c>
      <c r="D146" s="17" t="s">
        <v>93</v>
      </c>
      <c r="E146" s="17" t="s">
        <v>409</v>
      </c>
      <c r="F146" s="19"/>
      <c r="G146" s="20">
        <v>1.0</v>
      </c>
      <c r="H146" s="21"/>
      <c r="I146" s="21">
        <v>1133.0</v>
      </c>
      <c r="J146" s="22">
        <v>3.0</v>
      </c>
      <c r="K146" s="50"/>
      <c r="L146" s="21" t="str">
        <f>IF(K146&gt;0,K146*I146,"")</f>
      </c>
      <c r="M146" s="52"/>
      <c r="N146" t="str">
        <f>IF(K146&gt;0,COUNTIF($K$7:K146,"&gt;0"),"")</f>
      </c>
      <c r="P146" t="s">
        <v>407</v>
      </c>
      <c r="Q146" t="s">
        <v>407</v>
      </c>
    </row>
    <row r="147" spans="1:18" customHeight="1" ht="58">
      <c r="A147" s="16"/>
      <c r="B147" s="18" t="s">
        <v>408</v>
      </c>
      <c r="C147" s="17" t="s">
        <v>344</v>
      </c>
      <c r="D147" s="17" t="s">
        <v>85</v>
      </c>
      <c r="E147" s="17" t="s">
        <v>409</v>
      </c>
      <c r="F147" s="19"/>
      <c r="G147" s="20">
        <v>1.0</v>
      </c>
      <c r="H147" s="21"/>
      <c r="I147" s="21">
        <v>1133.0</v>
      </c>
      <c r="J147" s="22">
        <v>7.0</v>
      </c>
      <c r="K147" s="50"/>
      <c r="L147" s="21" t="str">
        <f>IF(K147&gt;0,K147*I147,"")</f>
      </c>
      <c r="M147" s="52"/>
      <c r="N147" t="str">
        <f>IF(K147&gt;0,COUNTIF($K$7:K147,"&gt;0"),"")</f>
      </c>
      <c r="P147" t="s">
        <v>410</v>
      </c>
      <c r="Q147" t="s">
        <v>410</v>
      </c>
    </row>
    <row r="148" spans="1:18" customHeight="1" ht="58">
      <c r="A148" s="16"/>
      <c r="B148" s="18" t="s">
        <v>408</v>
      </c>
      <c r="C148" s="17" t="s">
        <v>344</v>
      </c>
      <c r="D148" s="17" t="s">
        <v>302</v>
      </c>
      <c r="E148" s="17" t="s">
        <v>409</v>
      </c>
      <c r="F148" s="19"/>
      <c r="G148" s="20">
        <v>1.0</v>
      </c>
      <c r="H148" s="21"/>
      <c r="I148" s="21">
        <v>1133.0</v>
      </c>
      <c r="J148" s="22">
        <v>4.0</v>
      </c>
      <c r="K148" s="50"/>
      <c r="L148" s="21" t="str">
        <f>IF(K148&gt;0,K148*I148,"")</f>
      </c>
      <c r="M148" s="52"/>
      <c r="N148" t="str">
        <f>IF(K148&gt;0,COUNTIF($K$7:K148,"&gt;0"),"")</f>
      </c>
      <c r="P148" t="s">
        <v>411</v>
      </c>
      <c r="Q148" t="s">
        <v>411</v>
      </c>
    </row>
    <row r="149" spans="1:18" customHeight="1" ht="58">
      <c r="A149" s="16"/>
      <c r="B149" s="18" t="s">
        <v>408</v>
      </c>
      <c r="C149" s="17" t="s">
        <v>344</v>
      </c>
      <c r="D149" s="17" t="s">
        <v>89</v>
      </c>
      <c r="E149" s="17" t="s">
        <v>409</v>
      </c>
      <c r="F149" s="19"/>
      <c r="G149" s="20">
        <v>1.0</v>
      </c>
      <c r="H149" s="21"/>
      <c r="I149" s="21">
        <v>1133.0</v>
      </c>
      <c r="J149" s="22">
        <v>4.0</v>
      </c>
      <c r="K149" s="50"/>
      <c r="L149" s="21" t="str">
        <f>IF(K149&gt;0,K149*I149,"")</f>
      </c>
      <c r="M149" s="52"/>
      <c r="N149" t="str">
        <f>IF(K149&gt;0,COUNTIF($K$7:K149,"&gt;0"),"")</f>
      </c>
      <c r="P149" t="s">
        <v>412</v>
      </c>
      <c r="Q149" t="s">
        <v>412</v>
      </c>
    </row>
    <row r="150" spans="1:18" customHeight="1" ht="58">
      <c r="A150" s="16"/>
      <c r="B150" s="18" t="s">
        <v>414</v>
      </c>
      <c r="C150" s="17" t="s">
        <v>415</v>
      </c>
      <c r="D150" s="17"/>
      <c r="E150" s="17" t="s">
        <v>416</v>
      </c>
      <c r="F150" s="19"/>
      <c r="G150" s="20">
        <v>1.0</v>
      </c>
      <c r="H150" s="21"/>
      <c r="I150" s="21">
        <v>165.0</v>
      </c>
      <c r="J150" s="22">
        <v>6.0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417</v>
      </c>
      <c r="P150" t="s">
        <v>413</v>
      </c>
      <c r="Q150" t="s">
        <v>413</v>
      </c>
    </row>
    <row r="151" spans="1:18" customHeight="1" ht="58">
      <c r="A151" s="16"/>
      <c r="B151" s="18" t="s">
        <v>414</v>
      </c>
      <c r="C151" s="17" t="s">
        <v>419</v>
      </c>
      <c r="D151" s="17"/>
      <c r="E151" s="17" t="s">
        <v>420</v>
      </c>
      <c r="F151" s="19"/>
      <c r="G151" s="20">
        <v>1.0</v>
      </c>
      <c r="H151" s="21"/>
      <c r="I151" s="21">
        <v>315.0</v>
      </c>
      <c r="J151" s="22">
        <v>2.0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421</v>
      </c>
      <c r="P151" t="s">
        <v>418</v>
      </c>
      <c r="Q151" t="s">
        <v>418</v>
      </c>
    </row>
    <row r="152" spans="1:18" customHeight="1" ht="58">
      <c r="A152" s="16"/>
      <c r="B152" s="18" t="s">
        <v>414</v>
      </c>
      <c r="C152" s="17" t="s">
        <v>423</v>
      </c>
      <c r="D152" s="17"/>
      <c r="E152" s="17" t="s">
        <v>424</v>
      </c>
      <c r="F152" s="19"/>
      <c r="G152" s="20">
        <v>1.0</v>
      </c>
      <c r="H152" s="21"/>
      <c r="I152" s="21">
        <v>520.0</v>
      </c>
      <c r="J152" s="22">
        <v>3.0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425</v>
      </c>
      <c r="P152" t="s">
        <v>422</v>
      </c>
      <c r="Q152" t="s">
        <v>422</v>
      </c>
    </row>
    <row r="153" spans="1:18" customHeight="1" ht="58">
      <c r="A153" s="16"/>
      <c r="B153" s="18" t="s">
        <v>414</v>
      </c>
      <c r="C153" s="17" t="s">
        <v>427</v>
      </c>
      <c r="D153" s="17"/>
      <c r="E153" s="17"/>
      <c r="F153" s="19"/>
      <c r="G153" s="20">
        <v>1.0</v>
      </c>
      <c r="H153" s="21"/>
      <c r="I153" s="21">
        <v>748.0</v>
      </c>
      <c r="J153" s="22">
        <v>4.0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428</v>
      </c>
      <c r="P153" t="s">
        <v>426</v>
      </c>
      <c r="Q153" t="s">
        <v>426</v>
      </c>
    </row>
    <row r="154" spans="1:18" customHeight="1" ht="58">
      <c r="A154" s="16"/>
      <c r="B154" s="18" t="s">
        <v>414</v>
      </c>
      <c r="C154" s="17" t="s">
        <v>430</v>
      </c>
      <c r="D154" s="17"/>
      <c r="E154" s="17" t="s">
        <v>416</v>
      </c>
      <c r="F154" s="19"/>
      <c r="G154" s="20">
        <v>1.0</v>
      </c>
      <c r="H154" s="21"/>
      <c r="I154" s="21">
        <v>165.0</v>
      </c>
      <c r="J154" s="22">
        <v>4.0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431</v>
      </c>
      <c r="P154" t="s">
        <v>429</v>
      </c>
      <c r="Q154" t="s">
        <v>429</v>
      </c>
    </row>
    <row r="155" spans="1:18" customHeight="1" ht="58">
      <c r="A155" s="16"/>
      <c r="B155" s="18" t="s">
        <v>414</v>
      </c>
      <c r="C155" s="17" t="s">
        <v>433</v>
      </c>
      <c r="D155" s="17"/>
      <c r="E155" s="17" t="s">
        <v>420</v>
      </c>
      <c r="F155" s="19"/>
      <c r="G155" s="20">
        <v>1.0</v>
      </c>
      <c r="H155" s="21"/>
      <c r="I155" s="21">
        <v>325.0</v>
      </c>
      <c r="J155" s="22">
        <v>5.0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434</v>
      </c>
      <c r="P155" t="s">
        <v>432</v>
      </c>
      <c r="Q155" t="s">
        <v>432</v>
      </c>
    </row>
    <row r="156" spans="1:18" customHeight="1" ht="58">
      <c r="A156" s="16"/>
      <c r="B156" s="18" t="s">
        <v>414</v>
      </c>
      <c r="C156" s="17" t="s">
        <v>436</v>
      </c>
      <c r="D156" s="17"/>
      <c r="E156" s="17" t="s">
        <v>424</v>
      </c>
      <c r="F156" s="19"/>
      <c r="G156" s="20">
        <v>1.0</v>
      </c>
      <c r="H156" s="21"/>
      <c r="I156" s="21">
        <v>520.0</v>
      </c>
      <c r="J156" s="22">
        <v>6.0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437</v>
      </c>
      <c r="P156" t="s">
        <v>435</v>
      </c>
      <c r="Q156" t="s">
        <v>435</v>
      </c>
    </row>
    <row r="157" spans="1:18" customHeight="1" ht="58">
      <c r="A157" s="16"/>
      <c r="B157" s="18" t="s">
        <v>414</v>
      </c>
      <c r="C157" s="17" t="s">
        <v>439</v>
      </c>
      <c r="D157" s="17"/>
      <c r="E157" s="17"/>
      <c r="F157" s="19"/>
      <c r="G157" s="20">
        <v>1.0</v>
      </c>
      <c r="H157" s="21"/>
      <c r="I157" s="21">
        <v>748.0</v>
      </c>
      <c r="J157" s="22">
        <v>8.0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440</v>
      </c>
      <c r="P157" t="s">
        <v>438</v>
      </c>
      <c r="Q157" t="s">
        <v>438</v>
      </c>
    </row>
    <row r="158" spans="1:18" customHeight="1" ht="58">
      <c r="A158" s="16"/>
      <c r="B158" s="18" t="s">
        <v>414</v>
      </c>
      <c r="C158" s="17" t="s">
        <v>442</v>
      </c>
      <c r="D158" s="17"/>
      <c r="E158" s="17" t="s">
        <v>443</v>
      </c>
      <c r="F158" s="19"/>
      <c r="G158" s="20">
        <v>1.0</v>
      </c>
      <c r="H158" s="21"/>
      <c r="I158" s="21">
        <v>1490.0</v>
      </c>
      <c r="J158" s="22">
        <v>4.0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444</v>
      </c>
      <c r="P158" t="s">
        <v>441</v>
      </c>
      <c r="Q158" t="s">
        <v>441</v>
      </c>
    </row>
    <row r="159" spans="1:18" customHeight="1" ht="58">
      <c r="A159" s="16"/>
      <c r="B159" s="18" t="s">
        <v>414</v>
      </c>
      <c r="C159" s="17" t="s">
        <v>446</v>
      </c>
      <c r="D159" s="17"/>
      <c r="E159" s="17" t="s">
        <v>416</v>
      </c>
      <c r="F159" s="19"/>
      <c r="G159" s="20">
        <v>1.0</v>
      </c>
      <c r="H159" s="21"/>
      <c r="I159" s="21">
        <v>165.0</v>
      </c>
      <c r="J159" s="22">
        <v>7.0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447</v>
      </c>
      <c r="P159" t="s">
        <v>445</v>
      </c>
      <c r="Q159" t="s">
        <v>445</v>
      </c>
    </row>
    <row r="160" spans="1:18" customHeight="1" ht="58">
      <c r="A160" s="16"/>
      <c r="B160" s="18" t="s">
        <v>414</v>
      </c>
      <c r="C160" s="17" t="s">
        <v>449</v>
      </c>
      <c r="D160" s="17"/>
      <c r="E160" s="17" t="s">
        <v>420</v>
      </c>
      <c r="F160" s="19"/>
      <c r="G160" s="20">
        <v>1.0</v>
      </c>
      <c r="H160" s="21"/>
      <c r="I160" s="21">
        <v>325.0</v>
      </c>
      <c r="J160" s="22">
        <v>1.0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450</v>
      </c>
      <c r="P160" t="s">
        <v>448</v>
      </c>
      <c r="Q160" t="s">
        <v>448</v>
      </c>
    </row>
    <row r="161" spans="1:18" customHeight="1" ht="58">
      <c r="A161" s="16"/>
      <c r="B161" s="18" t="s">
        <v>414</v>
      </c>
      <c r="C161" s="17" t="s">
        <v>452</v>
      </c>
      <c r="D161" s="17"/>
      <c r="E161" s="17" t="s">
        <v>420</v>
      </c>
      <c r="F161" s="19"/>
      <c r="G161" s="20">
        <v>1.0</v>
      </c>
      <c r="H161" s="21"/>
      <c r="I161" s="21">
        <v>315.0</v>
      </c>
      <c r="J161" s="22">
        <v>13.0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453</v>
      </c>
      <c r="P161" t="s">
        <v>451</v>
      </c>
      <c r="Q161" t="s">
        <v>451</v>
      </c>
    </row>
    <row r="162" spans="1:18" customHeight="1" ht="58">
      <c r="A162" s="16"/>
      <c r="B162" s="18" t="s">
        <v>414</v>
      </c>
      <c r="C162" s="17" t="s">
        <v>455</v>
      </c>
      <c r="D162" s="17"/>
      <c r="E162" s="17" t="s">
        <v>456</v>
      </c>
      <c r="F162" s="19"/>
      <c r="G162" s="20">
        <v>1.0</v>
      </c>
      <c r="H162" s="21"/>
      <c r="I162" s="21">
        <v>165.0</v>
      </c>
      <c r="J162" s="22">
        <v>16.0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457</v>
      </c>
      <c r="P162" t="s">
        <v>454</v>
      </c>
      <c r="Q162" t="s">
        <v>454</v>
      </c>
    </row>
    <row r="163" spans="1:18" customHeight="1" ht="58">
      <c r="A163" s="16"/>
      <c r="B163" s="18" t="s">
        <v>414</v>
      </c>
      <c r="C163" s="17" t="s">
        <v>455</v>
      </c>
      <c r="D163" s="17"/>
      <c r="E163" s="17" t="s">
        <v>459</v>
      </c>
      <c r="F163" s="19"/>
      <c r="G163" s="20">
        <v>1.0</v>
      </c>
      <c r="H163" s="21"/>
      <c r="I163" s="21">
        <v>315.0</v>
      </c>
      <c r="J163" s="22">
        <v>8.0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457</v>
      </c>
      <c r="P163" t="s">
        <v>458</v>
      </c>
      <c r="Q163" t="s">
        <v>458</v>
      </c>
    </row>
    <row r="164" spans="1:18" customHeight="1" ht="58">
      <c r="A164" s="16"/>
      <c r="B164" s="18" t="s">
        <v>414</v>
      </c>
      <c r="C164" s="17" t="s">
        <v>455</v>
      </c>
      <c r="D164" s="17"/>
      <c r="E164" s="17" t="s">
        <v>461</v>
      </c>
      <c r="F164" s="19"/>
      <c r="G164" s="20">
        <v>1.0</v>
      </c>
      <c r="H164" s="21"/>
      <c r="I164" s="21">
        <v>520.0</v>
      </c>
      <c r="J164" s="22">
        <v>6.0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457</v>
      </c>
      <c r="P164" t="s">
        <v>460</v>
      </c>
      <c r="Q164" t="s">
        <v>460</v>
      </c>
    </row>
    <row r="165" spans="1:18" customHeight="1" ht="58">
      <c r="A165" s="16"/>
      <c r="B165" s="18" t="s">
        <v>414</v>
      </c>
      <c r="C165" s="17" t="s">
        <v>455</v>
      </c>
      <c r="D165" s="17"/>
      <c r="E165" s="17" t="s">
        <v>463</v>
      </c>
      <c r="F165" s="19"/>
      <c r="G165" s="20">
        <v>1.0</v>
      </c>
      <c r="H165" s="21"/>
      <c r="I165" s="21">
        <v>748.0</v>
      </c>
      <c r="J165" s="22">
        <v>3.0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457</v>
      </c>
      <c r="P165" t="s">
        <v>462</v>
      </c>
      <c r="Q165" t="s">
        <v>462</v>
      </c>
    </row>
    <row r="166" spans="1:18" customHeight="1" ht="58">
      <c r="A166" s="16"/>
      <c r="B166" s="18" t="s">
        <v>414</v>
      </c>
      <c r="C166" s="17" t="s">
        <v>465</v>
      </c>
      <c r="D166" s="17"/>
      <c r="E166" s="17" t="s">
        <v>416</v>
      </c>
      <c r="F166" s="19"/>
      <c r="G166" s="20">
        <v>1.0</v>
      </c>
      <c r="H166" s="21"/>
      <c r="I166" s="21">
        <v>165.0</v>
      </c>
      <c r="J166" s="22">
        <v>9.0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466</v>
      </c>
      <c r="P166" t="s">
        <v>464</v>
      </c>
      <c r="Q166" t="s">
        <v>464</v>
      </c>
    </row>
    <row r="167" spans="1:18" customHeight="1" ht="58">
      <c r="A167" s="16"/>
      <c r="B167" s="18" t="s">
        <v>414</v>
      </c>
      <c r="C167" s="17" t="s">
        <v>468</v>
      </c>
      <c r="D167" s="17"/>
      <c r="E167" s="17" t="s">
        <v>420</v>
      </c>
      <c r="F167" s="19"/>
      <c r="G167" s="20">
        <v>1.0</v>
      </c>
      <c r="H167" s="21"/>
      <c r="I167" s="21">
        <v>315.0</v>
      </c>
      <c r="J167" s="22">
        <v>12.0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469</v>
      </c>
      <c r="P167" t="s">
        <v>467</v>
      </c>
      <c r="Q167" t="s">
        <v>467</v>
      </c>
    </row>
    <row r="168" spans="1:18" customHeight="1" ht="58">
      <c r="A168" s="16"/>
      <c r="B168" s="18" t="s">
        <v>414</v>
      </c>
      <c r="C168" s="17" t="s">
        <v>471</v>
      </c>
      <c r="D168" s="17"/>
      <c r="E168" s="17" t="s">
        <v>424</v>
      </c>
      <c r="F168" s="19"/>
      <c r="G168" s="20">
        <v>1.0</v>
      </c>
      <c r="H168" s="21"/>
      <c r="I168" s="21">
        <v>520.0</v>
      </c>
      <c r="J168" s="22">
        <v>10.0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472</v>
      </c>
      <c r="P168" t="s">
        <v>470</v>
      </c>
      <c r="Q168" t="s">
        <v>470</v>
      </c>
    </row>
    <row r="169" spans="1:18" customHeight="1" ht="58">
      <c r="A169" s="16"/>
      <c r="B169" s="18" t="s">
        <v>414</v>
      </c>
      <c r="C169" s="17" t="s">
        <v>474</v>
      </c>
      <c r="D169" s="17"/>
      <c r="E169" s="17" t="s">
        <v>443</v>
      </c>
      <c r="F169" s="19"/>
      <c r="G169" s="20">
        <v>1.0</v>
      </c>
      <c r="H169" s="21"/>
      <c r="I169" s="21">
        <v>1485.0</v>
      </c>
      <c r="J169" s="22">
        <v>2.0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475</v>
      </c>
      <c r="P169" t="s">
        <v>473</v>
      </c>
      <c r="Q169" t="s">
        <v>473</v>
      </c>
    </row>
    <row r="170" spans="1:18" customHeight="1" ht="58">
      <c r="A170" s="16"/>
      <c r="B170" s="18" t="s">
        <v>414</v>
      </c>
      <c r="C170" s="17" t="s">
        <v>477</v>
      </c>
      <c r="D170" s="17"/>
      <c r="E170" s="17"/>
      <c r="F170" s="19"/>
      <c r="G170" s="20">
        <v>1.0</v>
      </c>
      <c r="H170" s="21"/>
      <c r="I170" s="21">
        <v>748.0</v>
      </c>
      <c r="J170" s="22">
        <v>9.0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478</v>
      </c>
      <c r="P170" t="s">
        <v>476</v>
      </c>
      <c r="Q170" t="s">
        <v>476</v>
      </c>
    </row>
    <row r="171" spans="1:18" customHeight="1" ht="58">
      <c r="A171" s="16"/>
      <c r="B171" s="18" t="s">
        <v>414</v>
      </c>
      <c r="C171" s="17" t="s">
        <v>480</v>
      </c>
      <c r="D171" s="17"/>
      <c r="E171" s="17" t="s">
        <v>416</v>
      </c>
      <c r="F171" s="19"/>
      <c r="G171" s="20">
        <v>1.0</v>
      </c>
      <c r="H171" s="21"/>
      <c r="I171" s="21">
        <v>165.0</v>
      </c>
      <c r="J171" s="22">
        <v>17.0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481</v>
      </c>
      <c r="P171" t="s">
        <v>479</v>
      </c>
      <c r="Q171" t="s">
        <v>479</v>
      </c>
    </row>
    <row r="172" spans="1:18" customHeight="1" ht="58">
      <c r="A172" s="16"/>
      <c r="B172" s="18" t="s">
        <v>414</v>
      </c>
      <c r="C172" s="17" t="s">
        <v>483</v>
      </c>
      <c r="D172" s="17"/>
      <c r="E172" s="17" t="s">
        <v>420</v>
      </c>
      <c r="F172" s="19"/>
      <c r="G172" s="20">
        <v>1.0</v>
      </c>
      <c r="H172" s="21"/>
      <c r="I172" s="21">
        <v>315.0</v>
      </c>
      <c r="J172" s="22">
        <v>11.0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484</v>
      </c>
      <c r="P172" t="s">
        <v>482</v>
      </c>
      <c r="Q172" t="s">
        <v>482</v>
      </c>
    </row>
    <row r="173" spans="1:18" customHeight="1" ht="58">
      <c r="A173" s="16"/>
      <c r="B173" s="18" t="s">
        <v>414</v>
      </c>
      <c r="C173" s="17" t="s">
        <v>486</v>
      </c>
      <c r="D173" s="17"/>
      <c r="E173" s="17" t="s">
        <v>424</v>
      </c>
      <c r="F173" s="19"/>
      <c r="G173" s="20">
        <v>1.0</v>
      </c>
      <c r="H173" s="21"/>
      <c r="I173" s="21">
        <v>520.0</v>
      </c>
      <c r="J173" s="22">
        <v>10.0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487</v>
      </c>
      <c r="P173" t="s">
        <v>485</v>
      </c>
      <c r="Q173" t="s">
        <v>485</v>
      </c>
    </row>
    <row r="174" spans="1:18" customHeight="1" ht="58">
      <c r="A174" s="16"/>
      <c r="B174" s="18" t="s">
        <v>414</v>
      </c>
      <c r="C174" s="17" t="s">
        <v>489</v>
      </c>
      <c r="D174" s="17"/>
      <c r="E174" s="17" t="s">
        <v>416</v>
      </c>
      <c r="F174" s="19"/>
      <c r="G174" s="20">
        <v>1.0</v>
      </c>
      <c r="H174" s="21"/>
      <c r="I174" s="21">
        <v>165.0</v>
      </c>
      <c r="J174" s="22">
        <v>19.0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490</v>
      </c>
      <c r="P174" t="s">
        <v>488</v>
      </c>
      <c r="Q174" t="s">
        <v>488</v>
      </c>
    </row>
    <row r="175" spans="1:18" customHeight="1" ht="58">
      <c r="A175" s="16"/>
      <c r="B175" s="18" t="s">
        <v>414</v>
      </c>
      <c r="C175" s="17" t="s">
        <v>492</v>
      </c>
      <c r="D175" s="17"/>
      <c r="E175" s="17" t="s">
        <v>420</v>
      </c>
      <c r="F175" s="19"/>
      <c r="G175" s="20">
        <v>1.0</v>
      </c>
      <c r="H175" s="21"/>
      <c r="I175" s="21">
        <v>315.0</v>
      </c>
      <c r="J175" s="22">
        <v>19.0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493</v>
      </c>
      <c r="P175" t="s">
        <v>491</v>
      </c>
      <c r="Q175" t="s">
        <v>491</v>
      </c>
    </row>
    <row r="176" spans="1:18" customHeight="1" ht="58">
      <c r="A176" s="16"/>
      <c r="B176" s="18" t="s">
        <v>414</v>
      </c>
      <c r="C176" s="17" t="s">
        <v>495</v>
      </c>
      <c r="D176" s="17"/>
      <c r="E176" s="17" t="s">
        <v>424</v>
      </c>
      <c r="F176" s="19"/>
      <c r="G176" s="20">
        <v>1.0</v>
      </c>
      <c r="H176" s="21"/>
      <c r="I176" s="21">
        <v>520.0</v>
      </c>
      <c r="J176" s="22">
        <v>10.0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496</v>
      </c>
      <c r="P176" t="s">
        <v>494</v>
      </c>
      <c r="Q176" t="s">
        <v>494</v>
      </c>
    </row>
    <row r="177" spans="1:18" customHeight="1" ht="58">
      <c r="A177" s="16"/>
      <c r="B177" s="18" t="s">
        <v>414</v>
      </c>
      <c r="C177" s="17" t="s">
        <v>498</v>
      </c>
      <c r="D177" s="17"/>
      <c r="E177" s="17" t="s">
        <v>443</v>
      </c>
      <c r="F177" s="19"/>
      <c r="G177" s="20">
        <v>1.0</v>
      </c>
      <c r="H177" s="21"/>
      <c r="I177" s="21">
        <v>1485.0</v>
      </c>
      <c r="J177" s="22">
        <v>3.0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457</v>
      </c>
      <c r="P177" t="s">
        <v>497</v>
      </c>
      <c r="Q177" t="s">
        <v>497</v>
      </c>
    </row>
    <row r="178" spans="1:18" customHeight="1" ht="58">
      <c r="A178" s="16"/>
      <c r="B178" s="18" t="s">
        <v>414</v>
      </c>
      <c r="C178" s="17" t="s">
        <v>500</v>
      </c>
      <c r="D178" s="17"/>
      <c r="E178" s="17"/>
      <c r="F178" s="19"/>
      <c r="G178" s="20">
        <v>1.0</v>
      </c>
      <c r="H178" s="21"/>
      <c r="I178" s="21">
        <v>748.0</v>
      </c>
      <c r="J178" s="22">
        <v>10.0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501</v>
      </c>
      <c r="P178" t="s">
        <v>499</v>
      </c>
      <c r="Q178" t="s">
        <v>499</v>
      </c>
    </row>
    <row r="179" spans="1:18" customHeight="1" ht="58">
      <c r="A179" s="16"/>
      <c r="B179" s="18" t="s">
        <v>503</v>
      </c>
      <c r="C179" s="17" t="s">
        <v>504</v>
      </c>
      <c r="D179" s="17" t="s">
        <v>505</v>
      </c>
      <c r="E179" s="17" t="s">
        <v>183</v>
      </c>
      <c r="F179" s="19"/>
      <c r="G179" s="20">
        <v>1.0</v>
      </c>
      <c r="H179" s="21"/>
      <c r="I179" s="21">
        <v>215.0</v>
      </c>
      <c r="J179" s="22">
        <v>12.0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506</v>
      </c>
      <c r="P179" t="s">
        <v>502</v>
      </c>
      <c r="Q179" t="s">
        <v>502</v>
      </c>
    </row>
    <row r="180" spans="1:18" customHeight="1" ht="58">
      <c r="A180" s="16"/>
      <c r="B180" s="18" t="s">
        <v>508</v>
      </c>
      <c r="C180" s="17" t="s">
        <v>504</v>
      </c>
      <c r="D180" s="17" t="s">
        <v>505</v>
      </c>
      <c r="E180" s="17" t="s">
        <v>509</v>
      </c>
      <c r="F180" s="19"/>
      <c r="G180" s="20">
        <v>1.0</v>
      </c>
      <c r="H180" s="21"/>
      <c r="I180" s="21">
        <v>278.0</v>
      </c>
      <c r="J180" s="22">
        <v>5.0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510</v>
      </c>
      <c r="P180" t="s">
        <v>507</v>
      </c>
      <c r="Q180" t="s">
        <v>507</v>
      </c>
    </row>
    <row r="181" spans="1:18" customHeight="1" ht="58">
      <c r="A181" s="16"/>
      <c r="B181" s="18" t="s">
        <v>508</v>
      </c>
      <c r="C181" s="17" t="s">
        <v>504</v>
      </c>
      <c r="D181" s="17" t="s">
        <v>512</v>
      </c>
      <c r="E181" s="17" t="s">
        <v>509</v>
      </c>
      <c r="F181" s="19"/>
      <c r="G181" s="20">
        <v>1.0</v>
      </c>
      <c r="H181" s="21"/>
      <c r="I181" s="21">
        <v>278.0</v>
      </c>
      <c r="J181" s="22">
        <v>2.0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513</v>
      </c>
      <c r="P181" t="s">
        <v>511</v>
      </c>
      <c r="Q181" t="s">
        <v>511</v>
      </c>
    </row>
    <row r="182" spans="1:18" customHeight="1" ht="58">
      <c r="A182" s="16"/>
      <c r="B182" s="18" t="s">
        <v>508</v>
      </c>
      <c r="C182" s="17" t="s">
        <v>504</v>
      </c>
      <c r="D182" s="17" t="s">
        <v>515</v>
      </c>
      <c r="E182" s="17" t="s">
        <v>509</v>
      </c>
      <c r="F182" s="19"/>
      <c r="G182" s="20">
        <v>1.0</v>
      </c>
      <c r="H182" s="21"/>
      <c r="I182" s="21">
        <v>278.0</v>
      </c>
      <c r="J182" s="22">
        <v>5.0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516</v>
      </c>
      <c r="P182" t="s">
        <v>514</v>
      </c>
      <c r="Q182" t="s">
        <v>514</v>
      </c>
    </row>
    <row r="183" spans="1:18" customHeight="1" ht="58">
      <c r="A183" s="16"/>
      <c r="B183" s="18" t="s">
        <v>518</v>
      </c>
      <c r="C183" s="17" t="s">
        <v>519</v>
      </c>
      <c r="D183" s="17" t="s">
        <v>520</v>
      </c>
      <c r="E183" s="17" t="s">
        <v>521</v>
      </c>
      <c r="F183" s="19"/>
      <c r="G183" s="20">
        <v>1.0</v>
      </c>
      <c r="H183" s="21"/>
      <c r="I183" s="21">
        <v>55.0</v>
      </c>
      <c r="J183" s="22">
        <v>32.0</v>
      </c>
      <c r="K183" s="50"/>
      <c r="L183" s="21" t="str">
        <f>IF(K183&gt;0,K183*I183,"")</f>
      </c>
      <c r="M183" s="52"/>
      <c r="N183" t="str">
        <f>IF(K183&gt;0,COUNTIF($K$7:K183,"&gt;0"),"")</f>
      </c>
      <c r="P183" t="s">
        <v>517</v>
      </c>
      <c r="Q183" t="s">
        <v>517</v>
      </c>
    </row>
    <row r="184" spans="1:18" customHeight="1" ht="58">
      <c r="A184" s="16"/>
      <c r="B184" s="18" t="s">
        <v>518</v>
      </c>
      <c r="C184" s="17" t="s">
        <v>519</v>
      </c>
      <c r="D184" s="17" t="s">
        <v>312</v>
      </c>
      <c r="E184" s="17" t="s">
        <v>521</v>
      </c>
      <c r="F184" s="19"/>
      <c r="G184" s="20">
        <v>1.0</v>
      </c>
      <c r="H184" s="21"/>
      <c r="I184" s="21">
        <v>55.0</v>
      </c>
      <c r="J184" s="22">
        <v>32.0</v>
      </c>
      <c r="K184" s="50"/>
      <c r="L184" s="21" t="str">
        <f>IF(K184&gt;0,K184*I184,"")</f>
      </c>
      <c r="M184" s="52"/>
      <c r="N184" t="str">
        <f>IF(K184&gt;0,COUNTIF($K$7:K184,"&gt;0"),"")</f>
      </c>
      <c r="P184" t="s">
        <v>522</v>
      </c>
      <c r="Q184" t="s">
        <v>522</v>
      </c>
    </row>
    <row r="185" spans="1:18" customHeight="1" ht="58">
      <c r="A185" s="16"/>
      <c r="B185" s="18" t="s">
        <v>524</v>
      </c>
      <c r="C185" s="17" t="s">
        <v>525</v>
      </c>
      <c r="D185" s="17" t="s">
        <v>85</v>
      </c>
      <c r="E185" s="17" t="s">
        <v>86</v>
      </c>
      <c r="F185" s="19"/>
      <c r="G185" s="20">
        <v>1.0</v>
      </c>
      <c r="H185" s="21"/>
      <c r="I185" s="21">
        <v>154.0</v>
      </c>
      <c r="J185" s="22">
        <v>18.0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526</v>
      </c>
      <c r="P185" t="s">
        <v>523</v>
      </c>
      <c r="Q185" t="s">
        <v>523</v>
      </c>
    </row>
    <row r="186" spans="1:18" customHeight="1" ht="58">
      <c r="A186" s="16"/>
      <c r="B186" s="18" t="s">
        <v>524</v>
      </c>
      <c r="C186" s="17" t="s">
        <v>525</v>
      </c>
      <c r="D186" s="17" t="s">
        <v>528</v>
      </c>
      <c r="E186" s="17" t="s">
        <v>86</v>
      </c>
      <c r="F186" s="19"/>
      <c r="G186" s="20">
        <v>1.0</v>
      </c>
      <c r="H186" s="21"/>
      <c r="I186" s="21">
        <v>154.0</v>
      </c>
      <c r="J186" s="22">
        <v>18.0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529</v>
      </c>
      <c r="P186" t="s">
        <v>527</v>
      </c>
      <c r="Q186" t="s">
        <v>527</v>
      </c>
    </row>
    <row r="187" spans="1:18" customHeight="1" ht="58">
      <c r="A187" s="16"/>
      <c r="B187" s="18" t="s">
        <v>524</v>
      </c>
      <c r="C187" s="17" t="s">
        <v>525</v>
      </c>
      <c r="D187" s="17" t="s">
        <v>234</v>
      </c>
      <c r="E187" s="17" t="s">
        <v>86</v>
      </c>
      <c r="F187" s="19"/>
      <c r="G187" s="20">
        <v>1.0</v>
      </c>
      <c r="H187" s="21"/>
      <c r="I187" s="21">
        <v>154.0</v>
      </c>
      <c r="J187" s="22">
        <v>18.0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531</v>
      </c>
      <c r="P187" t="s">
        <v>530</v>
      </c>
      <c r="Q187" t="s">
        <v>530</v>
      </c>
    </row>
    <row r="188" spans="1:18" customHeight="1" ht="58">
      <c r="A188" s="16"/>
      <c r="B188" s="18" t="s">
        <v>524</v>
      </c>
      <c r="C188" s="17" t="s">
        <v>525</v>
      </c>
      <c r="D188" s="17" t="s">
        <v>93</v>
      </c>
      <c r="E188" s="17" t="s">
        <v>86</v>
      </c>
      <c r="F188" s="19"/>
      <c r="G188" s="20">
        <v>1.0</v>
      </c>
      <c r="H188" s="21"/>
      <c r="I188" s="21">
        <v>154.0</v>
      </c>
      <c r="J188" s="22">
        <v>18.0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531</v>
      </c>
      <c r="P188" t="s">
        <v>532</v>
      </c>
      <c r="Q188" t="s">
        <v>532</v>
      </c>
    </row>
    <row r="189" spans="1:18" customHeight="1" ht="58">
      <c r="A189" s="16"/>
      <c r="B189" s="18" t="s">
        <v>534</v>
      </c>
      <c r="C189" s="17" t="s">
        <v>525</v>
      </c>
      <c r="D189" s="17" t="s">
        <v>528</v>
      </c>
      <c r="E189" s="17" t="s">
        <v>535</v>
      </c>
      <c r="F189" s="19"/>
      <c r="G189" s="20">
        <v>1.0</v>
      </c>
      <c r="H189" s="21"/>
      <c r="I189" s="21">
        <v>187.0</v>
      </c>
      <c r="J189" s="22">
        <v>12.0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536</v>
      </c>
      <c r="P189" t="s">
        <v>533</v>
      </c>
      <c r="Q189" t="s">
        <v>533</v>
      </c>
    </row>
    <row r="190" spans="1:18" customHeight="1" ht="58">
      <c r="A190" s="16"/>
      <c r="B190" s="18" t="s">
        <v>534</v>
      </c>
      <c r="C190" s="17" t="s">
        <v>525</v>
      </c>
      <c r="D190" s="17" t="s">
        <v>93</v>
      </c>
      <c r="E190" s="17" t="s">
        <v>535</v>
      </c>
      <c r="F190" s="19"/>
      <c r="G190" s="20">
        <v>1.0</v>
      </c>
      <c r="H190" s="21"/>
      <c r="I190" s="21">
        <v>187.0</v>
      </c>
      <c r="J190" s="22">
        <v>12.0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538</v>
      </c>
      <c r="P190" t="s">
        <v>537</v>
      </c>
      <c r="Q190" t="s">
        <v>537</v>
      </c>
    </row>
    <row r="191" spans="1:18" customHeight="1" ht="58">
      <c r="A191" s="16"/>
      <c r="B191" s="18" t="s">
        <v>534</v>
      </c>
      <c r="C191" s="17" t="s">
        <v>525</v>
      </c>
      <c r="D191" s="17" t="s">
        <v>85</v>
      </c>
      <c r="E191" s="17" t="s">
        <v>535</v>
      </c>
      <c r="F191" s="19"/>
      <c r="G191" s="20">
        <v>1.0</v>
      </c>
      <c r="H191" s="21"/>
      <c r="I191" s="21">
        <v>187.0</v>
      </c>
      <c r="J191" s="22">
        <v>12.0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540</v>
      </c>
      <c r="P191" t="s">
        <v>539</v>
      </c>
      <c r="Q191" t="s">
        <v>539</v>
      </c>
    </row>
    <row r="192" spans="1:18" customHeight="1" ht="58">
      <c r="A192" s="16"/>
      <c r="B192" s="18" t="s">
        <v>534</v>
      </c>
      <c r="C192" s="17" t="s">
        <v>525</v>
      </c>
      <c r="D192" s="17" t="s">
        <v>234</v>
      </c>
      <c r="E192" s="17" t="s">
        <v>535</v>
      </c>
      <c r="F192" s="19"/>
      <c r="G192" s="20">
        <v>1.0</v>
      </c>
      <c r="H192" s="21"/>
      <c r="I192" s="21">
        <v>187.0</v>
      </c>
      <c r="J192" s="22">
        <v>12.0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538</v>
      </c>
      <c r="P192" t="s">
        <v>541</v>
      </c>
      <c r="Q192" t="s">
        <v>541</v>
      </c>
    </row>
    <row r="193" spans="1:18" customHeight="1" ht="58">
      <c r="A193" s="16"/>
      <c r="B193" s="18" t="s">
        <v>543</v>
      </c>
      <c r="C193" s="17" t="s">
        <v>525</v>
      </c>
      <c r="D193" s="17" t="s">
        <v>528</v>
      </c>
      <c r="E193" s="17" t="s">
        <v>544</v>
      </c>
      <c r="F193" s="19"/>
      <c r="G193" s="20">
        <v>1.0</v>
      </c>
      <c r="H193" s="21"/>
      <c r="I193" s="21">
        <v>275.0</v>
      </c>
      <c r="J193" s="22">
        <v>10.0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545</v>
      </c>
      <c r="P193" t="s">
        <v>542</v>
      </c>
      <c r="Q193" t="s">
        <v>542</v>
      </c>
    </row>
    <row r="194" spans="1:18" customHeight="1" ht="58">
      <c r="A194" s="16"/>
      <c r="B194" s="18" t="s">
        <v>543</v>
      </c>
      <c r="C194" s="17" t="s">
        <v>525</v>
      </c>
      <c r="D194" s="17" t="s">
        <v>85</v>
      </c>
      <c r="E194" s="17" t="s">
        <v>544</v>
      </c>
      <c r="F194" s="19"/>
      <c r="G194" s="20">
        <v>1.0</v>
      </c>
      <c r="H194" s="21"/>
      <c r="I194" s="21">
        <v>275.0</v>
      </c>
      <c r="J194" s="22">
        <v>10.0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547</v>
      </c>
      <c r="P194" t="s">
        <v>546</v>
      </c>
      <c r="Q194" t="s">
        <v>546</v>
      </c>
    </row>
    <row r="195" spans="1:18" customHeight="1" ht="58">
      <c r="A195" s="16"/>
      <c r="B195" s="18" t="s">
        <v>543</v>
      </c>
      <c r="C195" s="17" t="s">
        <v>525</v>
      </c>
      <c r="D195" s="17" t="s">
        <v>234</v>
      </c>
      <c r="E195" s="17" t="s">
        <v>544</v>
      </c>
      <c r="F195" s="19"/>
      <c r="G195" s="20">
        <v>1.0</v>
      </c>
      <c r="H195" s="21"/>
      <c r="I195" s="21">
        <v>275.0</v>
      </c>
      <c r="J195" s="22">
        <v>10.0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549</v>
      </c>
      <c r="P195" t="s">
        <v>548</v>
      </c>
      <c r="Q195" t="s">
        <v>548</v>
      </c>
    </row>
    <row r="196" spans="1:18" customHeight="1" ht="58">
      <c r="A196" s="16"/>
      <c r="B196" s="18" t="s">
        <v>551</v>
      </c>
      <c r="C196" s="17" t="s">
        <v>525</v>
      </c>
      <c r="D196" s="17" t="s">
        <v>552</v>
      </c>
      <c r="E196" s="17" t="s">
        <v>120</v>
      </c>
      <c r="F196" s="19"/>
      <c r="G196" s="20">
        <v>1.0</v>
      </c>
      <c r="H196" s="21"/>
      <c r="I196" s="21">
        <v>385.0</v>
      </c>
      <c r="J196" s="22">
        <v>1.0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553</v>
      </c>
      <c r="P196" t="s">
        <v>550</v>
      </c>
      <c r="Q196" t="s">
        <v>550</v>
      </c>
    </row>
    <row r="197" spans="1:18" customHeight="1" ht="58">
      <c r="A197" s="16"/>
      <c r="B197" s="18" t="s">
        <v>551</v>
      </c>
      <c r="C197" s="17" t="s">
        <v>525</v>
      </c>
      <c r="D197" s="17" t="s">
        <v>91</v>
      </c>
      <c r="E197" s="17" t="s">
        <v>120</v>
      </c>
      <c r="F197" s="19"/>
      <c r="G197" s="20">
        <v>1.0</v>
      </c>
      <c r="H197" s="21"/>
      <c r="I197" s="21">
        <v>385.0</v>
      </c>
      <c r="J197" s="22">
        <v>9.0</v>
      </c>
      <c r="K197" s="50"/>
      <c r="L197" s="21" t="str">
        <f>IF(K197&gt;0,K197*I197,"")</f>
      </c>
      <c r="M197" s="52"/>
      <c r="N197" t="str">
        <f>IF(K197&gt;0,COUNTIF($K$7:K197,"&gt;0"),"")</f>
      </c>
      <c r="P197" t="s">
        <v>554</v>
      </c>
      <c r="Q197" t="s">
        <v>554</v>
      </c>
    </row>
    <row r="198" spans="1:18" customHeight="1" ht="58">
      <c r="A198" s="16"/>
      <c r="B198" s="18" t="s">
        <v>551</v>
      </c>
      <c r="C198" s="17" t="s">
        <v>525</v>
      </c>
      <c r="D198" s="17" t="s">
        <v>556</v>
      </c>
      <c r="E198" s="17" t="s">
        <v>120</v>
      </c>
      <c r="F198" s="19"/>
      <c r="G198" s="20">
        <v>1.0</v>
      </c>
      <c r="H198" s="21"/>
      <c r="I198" s="21">
        <v>385.0</v>
      </c>
      <c r="J198" s="22">
        <v>5.0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557</v>
      </c>
      <c r="P198" t="s">
        <v>555</v>
      </c>
      <c r="Q198" t="s">
        <v>555</v>
      </c>
    </row>
    <row r="199" spans="1:18" customHeight="1" ht="58">
      <c r="A199" s="16"/>
      <c r="B199" s="18" t="s">
        <v>551</v>
      </c>
      <c r="C199" s="17" t="s">
        <v>525</v>
      </c>
      <c r="D199" s="17" t="s">
        <v>85</v>
      </c>
      <c r="E199" s="17" t="s">
        <v>120</v>
      </c>
      <c r="F199" s="19"/>
      <c r="G199" s="20">
        <v>1.0</v>
      </c>
      <c r="H199" s="21"/>
      <c r="I199" s="21">
        <v>385.0</v>
      </c>
      <c r="J199" s="22">
        <v>9.0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559</v>
      </c>
      <c r="P199" t="s">
        <v>558</v>
      </c>
      <c r="Q199" t="s">
        <v>558</v>
      </c>
    </row>
    <row r="200" spans="1:18" customHeight="1" ht="58">
      <c r="A200" s="16"/>
      <c r="B200" s="18" t="s">
        <v>551</v>
      </c>
      <c r="C200" s="17" t="s">
        <v>525</v>
      </c>
      <c r="D200" s="17" t="s">
        <v>561</v>
      </c>
      <c r="E200" s="17" t="s">
        <v>120</v>
      </c>
      <c r="F200" s="19"/>
      <c r="G200" s="20">
        <v>1.0</v>
      </c>
      <c r="H200" s="21"/>
      <c r="I200" s="21">
        <v>385.0</v>
      </c>
      <c r="J200" s="22">
        <v>2.0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562</v>
      </c>
      <c r="P200" t="s">
        <v>560</v>
      </c>
      <c r="Q200" t="s">
        <v>560</v>
      </c>
    </row>
    <row r="201" spans="1:18" customHeight="1" ht="58">
      <c r="A201" s="16"/>
      <c r="B201" s="18" t="s">
        <v>551</v>
      </c>
      <c r="C201" s="17" t="s">
        <v>525</v>
      </c>
      <c r="D201" s="17" t="s">
        <v>302</v>
      </c>
      <c r="E201" s="17" t="s">
        <v>120</v>
      </c>
      <c r="F201" s="19"/>
      <c r="G201" s="20">
        <v>1.0</v>
      </c>
      <c r="H201" s="21"/>
      <c r="I201" s="21">
        <v>385.0</v>
      </c>
      <c r="J201" s="22">
        <v>9.0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564</v>
      </c>
      <c r="P201" t="s">
        <v>563</v>
      </c>
      <c r="Q201" t="s">
        <v>563</v>
      </c>
    </row>
    <row r="202" spans="1:18" customHeight="1" ht="58">
      <c r="A202" s="16"/>
      <c r="B202" s="18" t="s">
        <v>551</v>
      </c>
      <c r="C202" s="17" t="s">
        <v>525</v>
      </c>
      <c r="D202" s="17" t="s">
        <v>93</v>
      </c>
      <c r="E202" s="17" t="s">
        <v>120</v>
      </c>
      <c r="F202" s="19"/>
      <c r="G202" s="20">
        <v>1.0</v>
      </c>
      <c r="H202" s="21"/>
      <c r="I202" s="21">
        <v>385.0</v>
      </c>
      <c r="J202" s="22">
        <v>9.0</v>
      </c>
      <c r="K202" s="50"/>
      <c r="L202" s="21" t="str">
        <f>IF(K202&gt;0,K202*I202,"")</f>
      </c>
      <c r="M202" s="52"/>
      <c r="N202" t="str">
        <f>IF(K202&gt;0,COUNTIF($K$7:K202,"&gt;0"),"")</f>
      </c>
      <c r="P202" t="s">
        <v>565</v>
      </c>
      <c r="Q202" t="s">
        <v>565</v>
      </c>
    </row>
    <row r="203" spans="1:18" customHeight="1" ht="58">
      <c r="A203" s="16"/>
      <c r="B203" s="18" t="s">
        <v>567</v>
      </c>
      <c r="C203" s="17" t="s">
        <v>525</v>
      </c>
      <c r="D203" s="17" t="s">
        <v>85</v>
      </c>
      <c r="E203" s="17" t="s">
        <v>568</v>
      </c>
      <c r="F203" s="19"/>
      <c r="G203" s="20">
        <v>1.0</v>
      </c>
      <c r="H203" s="21"/>
      <c r="I203" s="21">
        <v>660.0</v>
      </c>
      <c r="J203" s="22">
        <v>4.0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569</v>
      </c>
      <c r="P203" t="s">
        <v>566</v>
      </c>
      <c r="Q203" t="s">
        <v>566</v>
      </c>
    </row>
    <row r="204" spans="1:18" customHeight="1" ht="58">
      <c r="A204" s="16"/>
      <c r="B204" s="18" t="s">
        <v>567</v>
      </c>
      <c r="C204" s="17" t="s">
        <v>525</v>
      </c>
      <c r="D204" s="17" t="s">
        <v>93</v>
      </c>
      <c r="E204" s="17" t="s">
        <v>568</v>
      </c>
      <c r="F204" s="19"/>
      <c r="G204" s="20">
        <v>1.0</v>
      </c>
      <c r="H204" s="21"/>
      <c r="I204" s="21">
        <v>660.0</v>
      </c>
      <c r="J204" s="22">
        <v>5.0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571</v>
      </c>
      <c r="P204" t="s">
        <v>570</v>
      </c>
      <c r="Q204" t="s">
        <v>570</v>
      </c>
    </row>
    <row r="205" spans="1:18" customHeight="1" ht="58">
      <c r="A205" s="16"/>
      <c r="B205" s="18" t="s">
        <v>567</v>
      </c>
      <c r="C205" s="17" t="s">
        <v>525</v>
      </c>
      <c r="D205" s="17" t="s">
        <v>561</v>
      </c>
      <c r="E205" s="17" t="s">
        <v>568</v>
      </c>
      <c r="F205" s="19"/>
      <c r="G205" s="20">
        <v>1.0</v>
      </c>
      <c r="H205" s="21"/>
      <c r="I205" s="21">
        <v>660.0</v>
      </c>
      <c r="J205" s="22">
        <v>1.0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573</v>
      </c>
      <c r="P205" t="s">
        <v>572</v>
      </c>
      <c r="Q205" t="s">
        <v>572</v>
      </c>
    </row>
    <row r="206" spans="1:18" customHeight="1" ht="58">
      <c r="A206" s="16"/>
      <c r="B206" s="18" t="s">
        <v>567</v>
      </c>
      <c r="C206" s="17" t="s">
        <v>525</v>
      </c>
      <c r="D206" s="17" t="s">
        <v>91</v>
      </c>
      <c r="E206" s="17" t="s">
        <v>568</v>
      </c>
      <c r="F206" s="19"/>
      <c r="G206" s="20">
        <v>1.0</v>
      </c>
      <c r="H206" s="21"/>
      <c r="I206" s="21">
        <v>660.0</v>
      </c>
      <c r="J206" s="22">
        <v>4.0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569</v>
      </c>
      <c r="P206" t="s">
        <v>574</v>
      </c>
      <c r="Q206" t="s">
        <v>574</v>
      </c>
    </row>
    <row r="207" spans="1:18" customHeight="1" ht="58">
      <c r="A207" s="16"/>
      <c r="B207" s="18" t="s">
        <v>576</v>
      </c>
      <c r="C207" s="17" t="s">
        <v>525</v>
      </c>
      <c r="D207" s="17" t="s">
        <v>93</v>
      </c>
      <c r="E207" s="17" t="s">
        <v>577</v>
      </c>
      <c r="F207" s="19"/>
      <c r="G207" s="20">
        <v>1.0</v>
      </c>
      <c r="H207" s="21"/>
      <c r="I207" s="21">
        <v>1023.0</v>
      </c>
      <c r="J207" s="22">
        <v>4.0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578</v>
      </c>
      <c r="P207" t="s">
        <v>575</v>
      </c>
      <c r="Q207" t="s">
        <v>575</v>
      </c>
    </row>
    <row r="208" spans="1:18" customHeight="1" ht="58">
      <c r="A208" s="16"/>
      <c r="B208" s="18" t="s">
        <v>576</v>
      </c>
      <c r="C208" s="17" t="s">
        <v>525</v>
      </c>
      <c r="D208" s="17" t="s">
        <v>561</v>
      </c>
      <c r="E208" s="17" t="s">
        <v>577</v>
      </c>
      <c r="F208" s="19"/>
      <c r="G208" s="20">
        <v>1.0</v>
      </c>
      <c r="H208" s="21"/>
      <c r="I208" s="21">
        <v>1023.0</v>
      </c>
      <c r="J208" s="22">
        <v>1.0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580</v>
      </c>
      <c r="P208" t="s">
        <v>579</v>
      </c>
      <c r="Q208" t="s">
        <v>579</v>
      </c>
    </row>
    <row r="209" spans="1:18" customHeight="1" ht="58">
      <c r="A209" s="16"/>
      <c r="B209" s="18" t="s">
        <v>576</v>
      </c>
      <c r="C209" s="17" t="s">
        <v>525</v>
      </c>
      <c r="D209" s="17" t="s">
        <v>85</v>
      </c>
      <c r="E209" s="17" t="s">
        <v>577</v>
      </c>
      <c r="F209" s="19"/>
      <c r="G209" s="20">
        <v>1.0</v>
      </c>
      <c r="H209" s="21"/>
      <c r="I209" s="21">
        <v>1023.0</v>
      </c>
      <c r="J209" s="22">
        <v>4.0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582</v>
      </c>
      <c r="P209" t="s">
        <v>581</v>
      </c>
      <c r="Q209" t="s">
        <v>581</v>
      </c>
    </row>
    <row r="210" spans="1:18" customHeight="1" ht="58">
      <c r="A210" s="16"/>
      <c r="B210" s="18" t="s">
        <v>576</v>
      </c>
      <c r="C210" s="17" t="s">
        <v>525</v>
      </c>
      <c r="D210" s="17" t="s">
        <v>40</v>
      </c>
      <c r="E210" s="17" t="s">
        <v>577</v>
      </c>
      <c r="F210" s="19"/>
      <c r="G210" s="20">
        <v>1.0</v>
      </c>
      <c r="H210" s="21"/>
      <c r="I210" s="21">
        <v>1023.0</v>
      </c>
      <c r="J210" s="22">
        <v>2.0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584</v>
      </c>
      <c r="P210" t="s">
        <v>583</v>
      </c>
      <c r="Q210" t="s">
        <v>583</v>
      </c>
    </row>
    <row r="211" spans="1:18" customHeight="1" ht="58">
      <c r="A211" s="16"/>
      <c r="B211" s="18" t="s">
        <v>576</v>
      </c>
      <c r="C211" s="17" t="s">
        <v>525</v>
      </c>
      <c r="D211" s="17" t="s">
        <v>91</v>
      </c>
      <c r="E211" s="17" t="s">
        <v>577</v>
      </c>
      <c r="F211" s="19"/>
      <c r="G211" s="20">
        <v>1.0</v>
      </c>
      <c r="H211" s="21"/>
      <c r="I211" s="21">
        <v>1023.0</v>
      </c>
      <c r="J211" s="22">
        <v>4.0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586</v>
      </c>
      <c r="P211" t="s">
        <v>585</v>
      </c>
      <c r="Q211" t="s">
        <v>585</v>
      </c>
    </row>
    <row r="212" spans="1:18" customHeight="1" ht="58">
      <c r="A212" s="16"/>
      <c r="B212" s="18" t="s">
        <v>588</v>
      </c>
      <c r="C212" s="17" t="s">
        <v>589</v>
      </c>
      <c r="D212" s="17" t="s">
        <v>85</v>
      </c>
      <c r="E212" s="17" t="s">
        <v>238</v>
      </c>
      <c r="F212" s="19"/>
      <c r="G212" s="20">
        <v>1.0</v>
      </c>
      <c r="H212" s="21"/>
      <c r="I212" s="21">
        <v>198.0</v>
      </c>
      <c r="J212" s="22">
        <v>20.0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590</v>
      </c>
      <c r="P212" t="s">
        <v>587</v>
      </c>
      <c r="Q212" t="s">
        <v>587</v>
      </c>
    </row>
    <row r="213" spans="1:18" customHeight="1" ht="58">
      <c r="A213" s="16"/>
      <c r="B213" s="18" t="s">
        <v>588</v>
      </c>
      <c r="C213" s="17" t="s">
        <v>589</v>
      </c>
      <c r="D213" s="17" t="s">
        <v>592</v>
      </c>
      <c r="E213" s="17" t="s">
        <v>238</v>
      </c>
      <c r="F213" s="19"/>
      <c r="G213" s="20">
        <v>1.0</v>
      </c>
      <c r="H213" s="21"/>
      <c r="I213" s="21">
        <v>198.0</v>
      </c>
      <c r="J213" s="22">
        <v>20.0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593</v>
      </c>
      <c r="P213" t="s">
        <v>591</v>
      </c>
      <c r="Q213" t="s">
        <v>591</v>
      </c>
    </row>
    <row r="214" spans="1:18" customHeight="1" ht="58">
      <c r="A214" s="16"/>
      <c r="B214" s="18" t="s">
        <v>588</v>
      </c>
      <c r="C214" s="17" t="s">
        <v>589</v>
      </c>
      <c r="D214" s="17" t="s">
        <v>595</v>
      </c>
      <c r="E214" s="17" t="s">
        <v>238</v>
      </c>
      <c r="F214" s="19"/>
      <c r="G214" s="20">
        <v>1.0</v>
      </c>
      <c r="H214" s="21"/>
      <c r="I214" s="21">
        <v>198.0</v>
      </c>
      <c r="J214" s="22">
        <v>20.0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596</v>
      </c>
      <c r="P214" t="s">
        <v>594</v>
      </c>
      <c r="Q214" t="s">
        <v>594</v>
      </c>
    </row>
    <row r="215" spans="1:18" customHeight="1" ht="58">
      <c r="A215" s="16"/>
      <c r="B215" s="18" t="s">
        <v>598</v>
      </c>
      <c r="C215" s="17" t="s">
        <v>589</v>
      </c>
      <c r="D215" s="17" t="s">
        <v>134</v>
      </c>
      <c r="E215" s="17" t="s">
        <v>183</v>
      </c>
      <c r="F215" s="19"/>
      <c r="G215" s="20">
        <v>1.0</v>
      </c>
      <c r="H215" s="21"/>
      <c r="I215" s="21">
        <v>248.0</v>
      </c>
      <c r="J215" s="22">
        <v>20.0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599</v>
      </c>
      <c r="P215" t="s">
        <v>597</v>
      </c>
      <c r="Q215" t="s">
        <v>597</v>
      </c>
    </row>
    <row r="216" spans="1:18" customHeight="1" ht="58">
      <c r="A216" s="16"/>
      <c r="B216" s="18" t="s">
        <v>598</v>
      </c>
      <c r="C216" s="17" t="s">
        <v>589</v>
      </c>
      <c r="D216" s="17" t="s">
        <v>592</v>
      </c>
      <c r="E216" s="17" t="s">
        <v>183</v>
      </c>
      <c r="F216" s="19"/>
      <c r="G216" s="20">
        <v>1.0</v>
      </c>
      <c r="H216" s="21"/>
      <c r="I216" s="21">
        <v>248.0</v>
      </c>
      <c r="J216" s="22">
        <v>20.0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601</v>
      </c>
      <c r="P216" t="s">
        <v>600</v>
      </c>
      <c r="Q216" t="s">
        <v>600</v>
      </c>
    </row>
    <row r="217" spans="1:18" customHeight="1" ht="58">
      <c r="A217" s="16"/>
      <c r="B217" s="18" t="s">
        <v>598</v>
      </c>
      <c r="C217" s="17" t="s">
        <v>589</v>
      </c>
      <c r="D217" s="17" t="s">
        <v>603</v>
      </c>
      <c r="E217" s="17" t="s">
        <v>183</v>
      </c>
      <c r="F217" s="19"/>
      <c r="G217" s="20">
        <v>1.0</v>
      </c>
      <c r="H217" s="21"/>
      <c r="I217" s="21">
        <v>248.0</v>
      </c>
      <c r="J217" s="22">
        <v>20.0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604</v>
      </c>
      <c r="P217" t="s">
        <v>602</v>
      </c>
      <c r="Q217" t="s">
        <v>602</v>
      </c>
    </row>
    <row r="218" spans="1:18" customHeight="1" ht="58">
      <c r="A218" s="16"/>
      <c r="B218" s="18" t="s">
        <v>606</v>
      </c>
      <c r="C218" s="17" t="s">
        <v>589</v>
      </c>
      <c r="D218" s="17" t="s">
        <v>134</v>
      </c>
      <c r="E218" s="17" t="s">
        <v>194</v>
      </c>
      <c r="F218" s="19"/>
      <c r="G218" s="20">
        <v>1.0</v>
      </c>
      <c r="H218" s="21"/>
      <c r="I218" s="21">
        <v>319.0</v>
      </c>
      <c r="J218" s="22">
        <v>16.0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607</v>
      </c>
      <c r="P218" t="s">
        <v>605</v>
      </c>
      <c r="Q218" t="s">
        <v>605</v>
      </c>
    </row>
    <row r="219" spans="1:18" customHeight="1" ht="58">
      <c r="A219" s="16"/>
      <c r="B219" s="18" t="s">
        <v>606</v>
      </c>
      <c r="C219" s="17" t="s">
        <v>589</v>
      </c>
      <c r="D219" s="17" t="s">
        <v>609</v>
      </c>
      <c r="E219" s="17" t="s">
        <v>194</v>
      </c>
      <c r="F219" s="19"/>
      <c r="G219" s="20">
        <v>1.0</v>
      </c>
      <c r="H219" s="21"/>
      <c r="I219" s="21">
        <v>319.0</v>
      </c>
      <c r="J219" s="22">
        <v>2.0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610</v>
      </c>
      <c r="P219" t="s">
        <v>608</v>
      </c>
      <c r="Q219" t="s">
        <v>608</v>
      </c>
    </row>
    <row r="220" spans="1:18" customHeight="1" ht="58">
      <c r="A220" s="16"/>
      <c r="B220" s="18" t="s">
        <v>606</v>
      </c>
      <c r="C220" s="17" t="s">
        <v>589</v>
      </c>
      <c r="D220" s="17" t="s">
        <v>592</v>
      </c>
      <c r="E220" s="17" t="s">
        <v>194</v>
      </c>
      <c r="F220" s="19"/>
      <c r="G220" s="20">
        <v>1.0</v>
      </c>
      <c r="H220" s="21"/>
      <c r="I220" s="21">
        <v>319.0</v>
      </c>
      <c r="J220" s="22">
        <v>16.0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612</v>
      </c>
      <c r="P220" t="s">
        <v>611</v>
      </c>
      <c r="Q220" t="s">
        <v>611</v>
      </c>
    </row>
    <row r="221" spans="1:18" customHeight="1" ht="58">
      <c r="A221" s="16"/>
      <c r="B221" s="18" t="s">
        <v>606</v>
      </c>
      <c r="C221" s="17" t="s">
        <v>589</v>
      </c>
      <c r="D221" s="17" t="s">
        <v>603</v>
      </c>
      <c r="E221" s="17" t="s">
        <v>194</v>
      </c>
      <c r="F221" s="19"/>
      <c r="G221" s="20">
        <v>1.0</v>
      </c>
      <c r="H221" s="21"/>
      <c r="I221" s="21">
        <v>319.0</v>
      </c>
      <c r="J221" s="22">
        <v>16.0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614</v>
      </c>
      <c r="P221" t="s">
        <v>613</v>
      </c>
      <c r="Q221" t="s">
        <v>613</v>
      </c>
    </row>
    <row r="222" spans="1:18" customHeight="1" ht="58">
      <c r="A222" s="16"/>
      <c r="B222" s="18" t="s">
        <v>606</v>
      </c>
      <c r="C222" s="17" t="s">
        <v>589</v>
      </c>
      <c r="D222" s="17" t="s">
        <v>561</v>
      </c>
      <c r="E222" s="17" t="s">
        <v>194</v>
      </c>
      <c r="F222" s="19"/>
      <c r="G222" s="20">
        <v>1.0</v>
      </c>
      <c r="H222" s="21"/>
      <c r="I222" s="21">
        <v>319.0</v>
      </c>
      <c r="J222" s="22">
        <v>3.0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616</v>
      </c>
      <c r="P222" t="s">
        <v>615</v>
      </c>
      <c r="Q222" t="s">
        <v>615</v>
      </c>
    </row>
    <row r="223" spans="1:18" customHeight="1" ht="58">
      <c r="A223" s="16"/>
      <c r="B223" s="18" t="s">
        <v>618</v>
      </c>
      <c r="C223" s="17" t="s">
        <v>589</v>
      </c>
      <c r="D223" s="17" t="s">
        <v>603</v>
      </c>
      <c r="E223" s="17" t="s">
        <v>619</v>
      </c>
      <c r="F223" s="19"/>
      <c r="G223" s="20">
        <v>1.0</v>
      </c>
      <c r="H223" s="21"/>
      <c r="I223" s="21">
        <v>369.0</v>
      </c>
      <c r="J223" s="22">
        <v>8.0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620</v>
      </c>
      <c r="P223" t="s">
        <v>617</v>
      </c>
      <c r="Q223" t="s">
        <v>617</v>
      </c>
    </row>
    <row r="224" spans="1:18" customHeight="1" ht="58">
      <c r="A224" s="16"/>
      <c r="B224" s="18" t="s">
        <v>618</v>
      </c>
      <c r="C224" s="17" t="s">
        <v>589</v>
      </c>
      <c r="D224" s="17" t="s">
        <v>595</v>
      </c>
      <c r="E224" s="17" t="s">
        <v>619</v>
      </c>
      <c r="F224" s="19"/>
      <c r="G224" s="20">
        <v>1.0</v>
      </c>
      <c r="H224" s="21"/>
      <c r="I224" s="21">
        <v>369.0</v>
      </c>
      <c r="J224" s="22">
        <v>8.0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622</v>
      </c>
      <c r="P224" t="s">
        <v>621</v>
      </c>
      <c r="Q224" t="s">
        <v>621</v>
      </c>
    </row>
    <row r="225" spans="1:18" customHeight="1" ht="58">
      <c r="A225" s="16"/>
      <c r="B225" s="18" t="s">
        <v>618</v>
      </c>
      <c r="C225" s="17" t="s">
        <v>589</v>
      </c>
      <c r="D225" s="17" t="s">
        <v>624</v>
      </c>
      <c r="E225" s="17" t="s">
        <v>619</v>
      </c>
      <c r="F225" s="19"/>
      <c r="G225" s="20">
        <v>1.0</v>
      </c>
      <c r="H225" s="21"/>
      <c r="I225" s="21">
        <v>369.0</v>
      </c>
      <c r="J225" s="22">
        <v>2.0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625</v>
      </c>
      <c r="P225" t="s">
        <v>623</v>
      </c>
      <c r="Q225" t="s">
        <v>623</v>
      </c>
    </row>
    <row r="226" spans="1:18" customHeight="1" ht="58">
      <c r="A226" s="16"/>
      <c r="B226" s="18" t="s">
        <v>618</v>
      </c>
      <c r="C226" s="17" t="s">
        <v>589</v>
      </c>
      <c r="D226" s="17" t="s">
        <v>592</v>
      </c>
      <c r="E226" s="17" t="s">
        <v>619</v>
      </c>
      <c r="F226" s="19"/>
      <c r="G226" s="20">
        <v>1.0</v>
      </c>
      <c r="H226" s="21"/>
      <c r="I226" s="21">
        <v>369.0</v>
      </c>
      <c r="J226" s="22">
        <v>8.0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627</v>
      </c>
      <c r="P226" t="s">
        <v>626</v>
      </c>
      <c r="Q226" t="s">
        <v>626</v>
      </c>
    </row>
    <row r="227" spans="1:18" customHeight="1" ht="58">
      <c r="A227" s="16"/>
      <c r="B227" s="18" t="s">
        <v>629</v>
      </c>
      <c r="C227" s="17" t="s">
        <v>589</v>
      </c>
      <c r="D227" s="17" t="s">
        <v>561</v>
      </c>
      <c r="E227" s="17" t="s">
        <v>568</v>
      </c>
      <c r="F227" s="19"/>
      <c r="G227" s="20">
        <v>1.0</v>
      </c>
      <c r="H227" s="21"/>
      <c r="I227" s="21">
        <v>776.0</v>
      </c>
      <c r="J227" s="22">
        <v>1.0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630</v>
      </c>
      <c r="P227" t="s">
        <v>628</v>
      </c>
      <c r="Q227" t="s">
        <v>628</v>
      </c>
    </row>
    <row r="228" spans="1:18" customHeight="1" ht="58">
      <c r="A228" s="16"/>
      <c r="B228" s="18" t="s">
        <v>629</v>
      </c>
      <c r="C228" s="17" t="s">
        <v>589</v>
      </c>
      <c r="D228" s="17" t="s">
        <v>595</v>
      </c>
      <c r="E228" s="17" t="s">
        <v>568</v>
      </c>
      <c r="F228" s="19"/>
      <c r="G228" s="20">
        <v>1.0</v>
      </c>
      <c r="H228" s="21"/>
      <c r="I228" s="21">
        <v>776.0</v>
      </c>
      <c r="J228" s="22">
        <v>5.0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632</v>
      </c>
      <c r="P228" t="s">
        <v>631</v>
      </c>
      <c r="Q228" t="s">
        <v>631</v>
      </c>
    </row>
    <row r="229" spans="1:18" customHeight="1" ht="58">
      <c r="A229" s="16"/>
      <c r="B229" s="18" t="s">
        <v>629</v>
      </c>
      <c r="C229" s="17" t="s">
        <v>589</v>
      </c>
      <c r="D229" s="17" t="s">
        <v>328</v>
      </c>
      <c r="E229" s="17" t="s">
        <v>568</v>
      </c>
      <c r="F229" s="19"/>
      <c r="G229" s="20">
        <v>1.0</v>
      </c>
      <c r="H229" s="21"/>
      <c r="I229" s="21">
        <v>776.0</v>
      </c>
      <c r="J229" s="22">
        <v>5.0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634</v>
      </c>
      <c r="P229" t="s">
        <v>633</v>
      </c>
      <c r="Q229" t="s">
        <v>633</v>
      </c>
    </row>
    <row r="230" spans="1:18" customHeight="1" ht="58">
      <c r="A230" s="16"/>
      <c r="B230" s="18" t="s">
        <v>629</v>
      </c>
      <c r="C230" s="17" t="s">
        <v>589</v>
      </c>
      <c r="D230" s="17" t="s">
        <v>603</v>
      </c>
      <c r="E230" s="17" t="s">
        <v>568</v>
      </c>
      <c r="F230" s="19"/>
      <c r="G230" s="20">
        <v>1.0</v>
      </c>
      <c r="H230" s="21"/>
      <c r="I230" s="21">
        <v>776.0</v>
      </c>
      <c r="J230" s="22">
        <v>4.0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636</v>
      </c>
      <c r="P230" t="s">
        <v>635</v>
      </c>
      <c r="Q230" t="s">
        <v>635</v>
      </c>
    </row>
    <row r="231" spans="1:18" customHeight="1" ht="58">
      <c r="A231" s="16"/>
      <c r="B231" s="18" t="s">
        <v>629</v>
      </c>
      <c r="C231" s="17" t="s">
        <v>589</v>
      </c>
      <c r="D231" s="17" t="s">
        <v>592</v>
      </c>
      <c r="E231" s="17" t="s">
        <v>568</v>
      </c>
      <c r="F231" s="19"/>
      <c r="G231" s="20">
        <v>1.0</v>
      </c>
      <c r="H231" s="21"/>
      <c r="I231" s="21">
        <v>776.0</v>
      </c>
      <c r="J231" s="22">
        <v>4.0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636</v>
      </c>
      <c r="P231" t="s">
        <v>637</v>
      </c>
      <c r="Q231" t="s">
        <v>637</v>
      </c>
    </row>
    <row r="232" spans="1:18" customHeight="1" ht="58">
      <c r="A232" s="16"/>
      <c r="B232" s="18" t="s">
        <v>639</v>
      </c>
      <c r="C232" s="17" t="s">
        <v>589</v>
      </c>
      <c r="D232" s="17" t="s">
        <v>134</v>
      </c>
      <c r="E232" s="17" t="s">
        <v>577</v>
      </c>
      <c r="F232" s="19"/>
      <c r="G232" s="20">
        <v>1.0</v>
      </c>
      <c r="H232" s="21"/>
      <c r="I232" s="21">
        <v>1022.0</v>
      </c>
      <c r="J232" s="22">
        <v>6.0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640</v>
      </c>
      <c r="P232" t="s">
        <v>638</v>
      </c>
      <c r="Q232" t="s">
        <v>638</v>
      </c>
    </row>
    <row r="233" spans="1:18" customHeight="1" ht="58">
      <c r="A233" s="16"/>
      <c r="B233" s="18" t="s">
        <v>639</v>
      </c>
      <c r="C233" s="17" t="s">
        <v>589</v>
      </c>
      <c r="D233" s="17" t="s">
        <v>561</v>
      </c>
      <c r="E233" s="17" t="s">
        <v>577</v>
      </c>
      <c r="F233" s="19"/>
      <c r="G233" s="20">
        <v>1.0</v>
      </c>
      <c r="H233" s="21"/>
      <c r="I233" s="21">
        <v>1022.0</v>
      </c>
      <c r="J233" s="22">
        <v>2.0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642</v>
      </c>
      <c r="P233" t="s">
        <v>641</v>
      </c>
      <c r="Q233" t="s">
        <v>641</v>
      </c>
    </row>
    <row r="234" spans="1:18" customHeight="1" ht="58">
      <c r="A234" s="16"/>
      <c r="B234" s="18" t="s">
        <v>639</v>
      </c>
      <c r="C234" s="17" t="s">
        <v>589</v>
      </c>
      <c r="D234" s="17" t="s">
        <v>328</v>
      </c>
      <c r="E234" s="17" t="s">
        <v>577</v>
      </c>
      <c r="F234" s="19"/>
      <c r="G234" s="20">
        <v>1.0</v>
      </c>
      <c r="H234" s="21"/>
      <c r="I234" s="21">
        <v>1022.0</v>
      </c>
      <c r="J234" s="22">
        <v>3.0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644</v>
      </c>
      <c r="P234" t="s">
        <v>643</v>
      </c>
      <c r="Q234" t="s">
        <v>643</v>
      </c>
    </row>
    <row r="235" spans="1:18" customHeight="1" ht="58">
      <c r="A235" s="16"/>
      <c r="B235" s="18" t="s">
        <v>639</v>
      </c>
      <c r="C235" s="17" t="s">
        <v>589</v>
      </c>
      <c r="D235" s="17" t="s">
        <v>603</v>
      </c>
      <c r="E235" s="17" t="s">
        <v>577</v>
      </c>
      <c r="F235" s="19"/>
      <c r="G235" s="20">
        <v>1.0</v>
      </c>
      <c r="H235" s="21"/>
      <c r="I235" s="21">
        <v>1022.0</v>
      </c>
      <c r="J235" s="22">
        <v>4.0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646</v>
      </c>
      <c r="P235" t="s">
        <v>645</v>
      </c>
      <c r="Q235" t="s">
        <v>645</v>
      </c>
    </row>
    <row r="236" spans="1:18" customHeight="1" ht="58">
      <c r="A236" s="16"/>
      <c r="B236" s="18" t="s">
        <v>639</v>
      </c>
      <c r="C236" s="17" t="s">
        <v>589</v>
      </c>
      <c r="D236" s="17" t="s">
        <v>93</v>
      </c>
      <c r="E236" s="17" t="s">
        <v>577</v>
      </c>
      <c r="F236" s="19"/>
      <c r="G236" s="20">
        <v>1.0</v>
      </c>
      <c r="H236" s="21"/>
      <c r="I236" s="21">
        <v>1022.0</v>
      </c>
      <c r="J236" s="22">
        <v>4.0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648</v>
      </c>
      <c r="P236" t="s">
        <v>647</v>
      </c>
      <c r="Q236" t="s">
        <v>647</v>
      </c>
    </row>
    <row r="237" spans="1:18" customHeight="1" ht="58">
      <c r="A237" s="16"/>
      <c r="B237" s="18" t="s">
        <v>650</v>
      </c>
      <c r="C237" s="17" t="s">
        <v>651</v>
      </c>
      <c r="D237" s="17" t="s">
        <v>515</v>
      </c>
      <c r="E237" s="17" t="s">
        <v>509</v>
      </c>
      <c r="F237" s="19"/>
      <c r="G237" s="20">
        <v>1.0</v>
      </c>
      <c r="H237" s="21"/>
      <c r="I237" s="21">
        <v>330.0</v>
      </c>
      <c r="J237" s="22">
        <v>6.0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652</v>
      </c>
      <c r="P237" t="s">
        <v>649</v>
      </c>
      <c r="Q237" t="s">
        <v>649</v>
      </c>
    </row>
    <row r="238" spans="1:18" customHeight="1" ht="58">
      <c r="A238" s="16"/>
      <c r="B238" s="18" t="s">
        <v>650</v>
      </c>
      <c r="C238" s="17" t="s">
        <v>651</v>
      </c>
      <c r="D238" s="17" t="s">
        <v>654</v>
      </c>
      <c r="E238" s="17" t="s">
        <v>509</v>
      </c>
      <c r="F238" s="19"/>
      <c r="G238" s="20">
        <v>1.0</v>
      </c>
      <c r="H238" s="21"/>
      <c r="I238" s="21">
        <v>359.0</v>
      </c>
      <c r="J238" s="22">
        <v>3.0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655</v>
      </c>
      <c r="P238" t="s">
        <v>653</v>
      </c>
      <c r="Q238" t="s">
        <v>653</v>
      </c>
    </row>
    <row r="239" spans="1:18" customHeight="1" ht="58">
      <c r="A239" s="16"/>
      <c r="B239" s="18" t="s">
        <v>657</v>
      </c>
      <c r="C239" s="17" t="s">
        <v>658</v>
      </c>
      <c r="D239" s="17" t="s">
        <v>302</v>
      </c>
      <c r="E239" s="17" t="s">
        <v>659</v>
      </c>
      <c r="F239" s="19"/>
      <c r="G239" s="20">
        <v>1.0</v>
      </c>
      <c r="H239" s="21"/>
      <c r="I239" s="21">
        <v>370.0</v>
      </c>
      <c r="J239" s="22">
        <v>5.0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660</v>
      </c>
      <c r="P239" t="s">
        <v>656</v>
      </c>
      <c r="Q239" t="s">
        <v>656</v>
      </c>
    </row>
    <row r="240" spans="1:18" customHeight="1" ht="58">
      <c r="A240" s="16"/>
      <c r="B240" s="18" t="s">
        <v>657</v>
      </c>
      <c r="C240" s="17" t="s">
        <v>658</v>
      </c>
      <c r="D240" s="17" t="s">
        <v>205</v>
      </c>
      <c r="E240" s="17" t="s">
        <v>659</v>
      </c>
      <c r="F240" s="19"/>
      <c r="G240" s="20">
        <v>1.0</v>
      </c>
      <c r="H240" s="21"/>
      <c r="I240" s="21">
        <v>370.0</v>
      </c>
      <c r="J240" s="22">
        <v>5.0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660</v>
      </c>
      <c r="P240" t="s">
        <v>661</v>
      </c>
      <c r="Q240" t="s">
        <v>661</v>
      </c>
    </row>
    <row r="241" spans="1:18" customHeight="1" ht="58">
      <c r="A241" s="16"/>
      <c r="B241" s="18" t="s">
        <v>657</v>
      </c>
      <c r="C241" s="17" t="s">
        <v>658</v>
      </c>
      <c r="D241" s="17" t="s">
        <v>89</v>
      </c>
      <c r="E241" s="17" t="s">
        <v>659</v>
      </c>
      <c r="F241" s="19"/>
      <c r="G241" s="20">
        <v>1.0</v>
      </c>
      <c r="H241" s="21"/>
      <c r="I241" s="21">
        <v>370.0</v>
      </c>
      <c r="J241" s="22">
        <v>5.0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663</v>
      </c>
      <c r="P241" t="s">
        <v>662</v>
      </c>
      <c r="Q241" t="s">
        <v>662</v>
      </c>
    </row>
    <row r="242" spans="1:18" customHeight="1" ht="58">
      <c r="A242" s="16"/>
      <c r="B242" s="18" t="s">
        <v>657</v>
      </c>
      <c r="C242" s="17" t="s">
        <v>658</v>
      </c>
      <c r="D242" s="17" t="s">
        <v>85</v>
      </c>
      <c r="E242" s="17" t="s">
        <v>659</v>
      </c>
      <c r="F242" s="19"/>
      <c r="G242" s="20">
        <v>1.0</v>
      </c>
      <c r="H242" s="21"/>
      <c r="I242" s="21">
        <v>370.0</v>
      </c>
      <c r="J242" s="22">
        <v>10.0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660</v>
      </c>
      <c r="P242" t="s">
        <v>664</v>
      </c>
      <c r="Q242" t="s">
        <v>664</v>
      </c>
    </row>
    <row r="243" spans="1:18" customHeight="1" ht="58">
      <c r="A243" s="16"/>
      <c r="B243" s="18" t="s">
        <v>657</v>
      </c>
      <c r="C243" s="17" t="s">
        <v>658</v>
      </c>
      <c r="D243" s="17" t="s">
        <v>93</v>
      </c>
      <c r="E243" s="17" t="s">
        <v>659</v>
      </c>
      <c r="F243" s="19"/>
      <c r="G243" s="20">
        <v>1.0</v>
      </c>
      <c r="H243" s="21"/>
      <c r="I243" s="21">
        <v>370.0</v>
      </c>
      <c r="J243" s="22">
        <v>5.0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666</v>
      </c>
      <c r="P243" t="s">
        <v>665</v>
      </c>
      <c r="Q243" t="s">
        <v>665</v>
      </c>
    </row>
    <row r="244" spans="1:18" customHeight="1" ht="58">
      <c r="A244" s="16"/>
      <c r="B244" s="18" t="s">
        <v>657</v>
      </c>
      <c r="C244" s="17" t="s">
        <v>658</v>
      </c>
      <c r="D244" s="17" t="s">
        <v>91</v>
      </c>
      <c r="E244" s="17" t="s">
        <v>659</v>
      </c>
      <c r="F244" s="19"/>
      <c r="G244" s="20">
        <v>1.0</v>
      </c>
      <c r="H244" s="21"/>
      <c r="I244" s="21">
        <v>370.0</v>
      </c>
      <c r="J244" s="22">
        <v>5.0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660</v>
      </c>
      <c r="P244" t="s">
        <v>667</v>
      </c>
      <c r="Q244" t="s">
        <v>667</v>
      </c>
    </row>
    <row r="245" spans="1:18" customHeight="1" ht="58">
      <c r="A245" s="16"/>
      <c r="B245" s="18" t="s">
        <v>669</v>
      </c>
      <c r="C245" s="17" t="s">
        <v>658</v>
      </c>
      <c r="D245" s="17" t="s">
        <v>205</v>
      </c>
      <c r="E245" s="17" t="s">
        <v>670</v>
      </c>
      <c r="F245" s="19"/>
      <c r="G245" s="20">
        <v>1.0</v>
      </c>
      <c r="H245" s="21"/>
      <c r="I245" s="21">
        <v>567.0</v>
      </c>
      <c r="J245" s="22">
        <v>5.0</v>
      </c>
      <c r="K245" s="50"/>
      <c r="L245" s="21" t="str">
        <f>IF(K245&gt;0,K245*I245,"")</f>
      </c>
      <c r="M245" s="52"/>
      <c r="N245" t="str">
        <f>IF(K245&gt;0,COUNTIF($K$7:K245,"&gt;0"),"")</f>
      </c>
      <c r="P245" t="s">
        <v>668</v>
      </c>
      <c r="Q245" t="s">
        <v>668</v>
      </c>
    </row>
    <row r="246" spans="1:18" customHeight="1" ht="58">
      <c r="A246" s="16"/>
      <c r="B246" s="18" t="s">
        <v>669</v>
      </c>
      <c r="C246" s="17" t="s">
        <v>658</v>
      </c>
      <c r="D246" s="17" t="s">
        <v>91</v>
      </c>
      <c r="E246" s="17" t="s">
        <v>670</v>
      </c>
      <c r="F246" s="19"/>
      <c r="G246" s="20">
        <v>1.0</v>
      </c>
      <c r="H246" s="21"/>
      <c r="I246" s="21">
        <v>567.0</v>
      </c>
      <c r="J246" s="22">
        <v>5.0</v>
      </c>
      <c r="K246" s="50"/>
      <c r="L246" s="21" t="str">
        <f>IF(K246&gt;0,K246*I246,"")</f>
      </c>
      <c r="M246" s="52"/>
      <c r="N246" t="str">
        <f>IF(K246&gt;0,COUNTIF($K$7:K246,"&gt;0"),"")</f>
      </c>
      <c r="P246" t="s">
        <v>671</v>
      </c>
      <c r="Q246" t="s">
        <v>671</v>
      </c>
    </row>
    <row r="247" spans="1:18" customHeight="1" ht="58">
      <c r="A247" s="16"/>
      <c r="B247" s="18" t="s">
        <v>669</v>
      </c>
      <c r="C247" s="17" t="s">
        <v>658</v>
      </c>
      <c r="D247" s="17" t="s">
        <v>89</v>
      </c>
      <c r="E247" s="17" t="s">
        <v>670</v>
      </c>
      <c r="F247" s="19"/>
      <c r="G247" s="20">
        <v>1.0</v>
      </c>
      <c r="H247" s="21"/>
      <c r="I247" s="21">
        <v>567.0</v>
      </c>
      <c r="J247" s="22">
        <v>5.0</v>
      </c>
      <c r="K247" s="50"/>
      <c r="L247" s="21" t="str">
        <f>IF(K247&gt;0,K247*I247,"")</f>
      </c>
      <c r="M247" s="52"/>
      <c r="N247" t="str">
        <f>IF(K247&gt;0,COUNTIF($K$7:K247,"&gt;0"),"")</f>
      </c>
      <c r="P247" t="s">
        <v>672</v>
      </c>
      <c r="Q247" t="s">
        <v>672</v>
      </c>
    </row>
    <row r="248" spans="1:18" customHeight="1" ht="58">
      <c r="A248" s="16"/>
      <c r="B248" s="18" t="s">
        <v>669</v>
      </c>
      <c r="C248" s="17" t="s">
        <v>658</v>
      </c>
      <c r="D248" s="17" t="s">
        <v>302</v>
      </c>
      <c r="E248" s="17" t="s">
        <v>670</v>
      </c>
      <c r="F248" s="19"/>
      <c r="G248" s="20">
        <v>1.0</v>
      </c>
      <c r="H248" s="21"/>
      <c r="I248" s="21">
        <v>567.0</v>
      </c>
      <c r="J248" s="22">
        <v>5.0</v>
      </c>
      <c r="K248" s="50"/>
      <c r="L248" s="21" t="str">
        <f>IF(K248&gt;0,K248*I248,"")</f>
      </c>
      <c r="M248" s="52"/>
      <c r="N248" t="str">
        <f>IF(K248&gt;0,COUNTIF($K$7:K248,"&gt;0"),"")</f>
      </c>
      <c r="P248" t="s">
        <v>673</v>
      </c>
      <c r="Q248" t="s">
        <v>673</v>
      </c>
    </row>
    <row r="249" spans="1:18" customHeight="1" ht="58">
      <c r="A249" s="16"/>
      <c r="B249" s="18" t="s">
        <v>669</v>
      </c>
      <c r="C249" s="17" t="s">
        <v>658</v>
      </c>
      <c r="D249" s="17" t="s">
        <v>85</v>
      </c>
      <c r="E249" s="17" t="s">
        <v>670</v>
      </c>
      <c r="F249" s="19"/>
      <c r="G249" s="20">
        <v>1.0</v>
      </c>
      <c r="H249" s="21"/>
      <c r="I249" s="21">
        <v>567.0</v>
      </c>
      <c r="J249" s="22">
        <v>10.0</v>
      </c>
      <c r="K249" s="50"/>
      <c r="L249" s="21" t="str">
        <f>IF(K249&gt;0,K249*I249,"")</f>
      </c>
      <c r="M249" s="52"/>
      <c r="N249" t="str">
        <f>IF(K249&gt;0,COUNTIF($K$7:K249,"&gt;0"),"")</f>
      </c>
      <c r="P249" t="s">
        <v>674</v>
      </c>
      <c r="Q249" t="s">
        <v>674</v>
      </c>
    </row>
    <row r="250" spans="1:18" customHeight="1" ht="58">
      <c r="A250" s="16"/>
      <c r="B250" s="18" t="s">
        <v>669</v>
      </c>
      <c r="C250" s="17" t="s">
        <v>658</v>
      </c>
      <c r="D250" s="17" t="s">
        <v>40</v>
      </c>
      <c r="E250" s="17" t="s">
        <v>670</v>
      </c>
      <c r="F250" s="19"/>
      <c r="G250" s="20">
        <v>1.0</v>
      </c>
      <c r="H250" s="21"/>
      <c r="I250" s="21">
        <v>567.0</v>
      </c>
      <c r="J250" s="22">
        <v>5.0</v>
      </c>
      <c r="K250" s="50"/>
      <c r="L250" s="21" t="str">
        <f>IF(K250&gt;0,K250*I250,"")</f>
      </c>
      <c r="M250" s="52"/>
      <c r="N250" t="str">
        <f>IF(K250&gt;0,COUNTIF($K$7:K250,"&gt;0"),"")</f>
      </c>
      <c r="P250" t="s">
        <v>675</v>
      </c>
      <c r="Q250" t="s">
        <v>675</v>
      </c>
    </row>
    <row r="251" spans="1:18" customHeight="1" ht="58">
      <c r="A251" s="16"/>
      <c r="B251" s="18" t="s">
        <v>669</v>
      </c>
      <c r="C251" s="17" t="s">
        <v>658</v>
      </c>
      <c r="D251" s="17" t="s">
        <v>93</v>
      </c>
      <c r="E251" s="17" t="s">
        <v>670</v>
      </c>
      <c r="F251" s="19"/>
      <c r="G251" s="20">
        <v>1.0</v>
      </c>
      <c r="H251" s="21"/>
      <c r="I251" s="21">
        <v>567.0</v>
      </c>
      <c r="J251" s="22">
        <v>5.0</v>
      </c>
      <c r="K251" s="50"/>
      <c r="L251" s="21" t="str">
        <f>IF(K251&gt;0,K251*I251,"")</f>
      </c>
      <c r="M251" s="52"/>
      <c r="N251" t="str">
        <f>IF(K251&gt;0,COUNTIF($K$7:K251,"&gt;0"),"")</f>
      </c>
      <c r="P251" t="s">
        <v>676</v>
      </c>
      <c r="Q251" t="s">
        <v>676</v>
      </c>
    </row>
    <row r="252" spans="1:18" customHeight="1" ht="58">
      <c r="A252" s="16"/>
      <c r="B252" s="18" t="s">
        <v>678</v>
      </c>
      <c r="C252" s="17" t="s">
        <v>679</v>
      </c>
      <c r="D252" s="17" t="s">
        <v>561</v>
      </c>
      <c r="E252" s="17" t="s">
        <v>680</v>
      </c>
      <c r="F252" s="19"/>
      <c r="G252" s="20">
        <v>1.0</v>
      </c>
      <c r="H252" s="21"/>
      <c r="I252" s="21">
        <v>226.0</v>
      </c>
      <c r="J252" s="22">
        <v>14.0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681</v>
      </c>
      <c r="P252" t="s">
        <v>677</v>
      </c>
      <c r="Q252" t="s">
        <v>677</v>
      </c>
    </row>
    <row r="253" spans="1:18" customHeight="1" ht="58">
      <c r="A253" s="16"/>
      <c r="B253" s="18" t="s">
        <v>678</v>
      </c>
      <c r="C253" s="17" t="s">
        <v>679</v>
      </c>
      <c r="D253" s="17" t="s">
        <v>324</v>
      </c>
      <c r="E253" s="17" t="s">
        <v>680</v>
      </c>
      <c r="F253" s="19"/>
      <c r="G253" s="20">
        <v>1.0</v>
      </c>
      <c r="H253" s="21"/>
      <c r="I253" s="21">
        <v>226.0</v>
      </c>
      <c r="J253" s="22">
        <v>22.0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683</v>
      </c>
      <c r="P253" t="s">
        <v>682</v>
      </c>
      <c r="Q253" t="s">
        <v>682</v>
      </c>
    </row>
    <row r="254" spans="1:18" customHeight="1" ht="58">
      <c r="A254" s="16"/>
      <c r="B254" s="18" t="s">
        <v>678</v>
      </c>
      <c r="C254" s="17" t="s">
        <v>679</v>
      </c>
      <c r="D254" s="17" t="s">
        <v>234</v>
      </c>
      <c r="E254" s="17" t="s">
        <v>680</v>
      </c>
      <c r="F254" s="19"/>
      <c r="G254" s="20">
        <v>1.0</v>
      </c>
      <c r="H254" s="21"/>
      <c r="I254" s="21">
        <v>226.0</v>
      </c>
      <c r="J254" s="22">
        <v>4.0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685</v>
      </c>
      <c r="P254" t="s">
        <v>684</v>
      </c>
      <c r="Q254" t="s">
        <v>684</v>
      </c>
    </row>
    <row r="255" spans="1:18" customHeight="1" ht="58">
      <c r="A255" s="16"/>
      <c r="B255" s="18" t="s">
        <v>678</v>
      </c>
      <c r="C255" s="17" t="s">
        <v>679</v>
      </c>
      <c r="D255" s="17" t="s">
        <v>328</v>
      </c>
      <c r="E255" s="17" t="s">
        <v>680</v>
      </c>
      <c r="F255" s="19"/>
      <c r="G255" s="20">
        <v>1.0</v>
      </c>
      <c r="H255" s="21"/>
      <c r="I255" s="21">
        <v>226.0</v>
      </c>
      <c r="J255" s="22">
        <v>7.0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687</v>
      </c>
      <c r="P255" t="s">
        <v>686</v>
      </c>
      <c r="Q255" t="s">
        <v>686</v>
      </c>
    </row>
    <row r="256" spans="1:18" customHeight="1" ht="58">
      <c r="A256" s="16"/>
      <c r="B256" s="18" t="s">
        <v>678</v>
      </c>
      <c r="C256" s="17" t="s">
        <v>679</v>
      </c>
      <c r="D256" s="17" t="s">
        <v>85</v>
      </c>
      <c r="E256" s="17" t="s">
        <v>680</v>
      </c>
      <c r="F256" s="19"/>
      <c r="G256" s="20">
        <v>1.0</v>
      </c>
      <c r="H256" s="21"/>
      <c r="I256" s="21">
        <v>226.0</v>
      </c>
      <c r="J256" s="22">
        <v>2.0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689</v>
      </c>
      <c r="P256" t="s">
        <v>688</v>
      </c>
      <c r="Q256" t="s">
        <v>688</v>
      </c>
    </row>
    <row r="257" spans="1:18" customHeight="1" ht="58">
      <c r="A257" s="16"/>
      <c r="B257" s="18" t="s">
        <v>678</v>
      </c>
      <c r="C257" s="17" t="s">
        <v>679</v>
      </c>
      <c r="D257" s="17" t="s">
        <v>691</v>
      </c>
      <c r="E257" s="17" t="s">
        <v>680</v>
      </c>
      <c r="F257" s="19"/>
      <c r="G257" s="20">
        <v>1.0</v>
      </c>
      <c r="H257" s="21"/>
      <c r="I257" s="21">
        <v>226.0</v>
      </c>
      <c r="J257" s="22">
        <v>15.0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692</v>
      </c>
      <c r="P257" t="s">
        <v>690</v>
      </c>
      <c r="Q257" t="s">
        <v>690</v>
      </c>
    </row>
    <row r="258" spans="1:18" customHeight="1" ht="58">
      <c r="A258" s="16"/>
      <c r="B258" s="18" t="s">
        <v>678</v>
      </c>
      <c r="C258" s="17" t="s">
        <v>679</v>
      </c>
      <c r="D258" s="17" t="s">
        <v>231</v>
      </c>
      <c r="E258" s="17" t="s">
        <v>680</v>
      </c>
      <c r="F258" s="19"/>
      <c r="G258" s="20">
        <v>1.0</v>
      </c>
      <c r="H258" s="21"/>
      <c r="I258" s="21">
        <v>226.0</v>
      </c>
      <c r="J258" s="22">
        <v>18.0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694</v>
      </c>
      <c r="P258" t="s">
        <v>693</v>
      </c>
      <c r="Q258" t="s">
        <v>693</v>
      </c>
    </row>
    <row r="259" spans="1:18" customHeight="1" ht="58">
      <c r="A259" s="16"/>
      <c r="B259" s="18" t="s">
        <v>696</v>
      </c>
      <c r="C259" s="17" t="s">
        <v>679</v>
      </c>
      <c r="D259" s="17" t="s">
        <v>691</v>
      </c>
      <c r="E259" s="17" t="s">
        <v>697</v>
      </c>
      <c r="F259" s="19"/>
      <c r="G259" s="20">
        <v>1.0</v>
      </c>
      <c r="H259" s="21"/>
      <c r="I259" s="21">
        <v>382.0</v>
      </c>
      <c r="J259" s="22">
        <v>4.0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698</v>
      </c>
      <c r="P259" t="s">
        <v>695</v>
      </c>
      <c r="Q259" t="s">
        <v>695</v>
      </c>
    </row>
    <row r="260" spans="1:18" customHeight="1" ht="58">
      <c r="A260" s="16"/>
      <c r="B260" s="18" t="s">
        <v>696</v>
      </c>
      <c r="C260" s="17" t="s">
        <v>679</v>
      </c>
      <c r="D260" s="17" t="s">
        <v>561</v>
      </c>
      <c r="E260" s="17" t="s">
        <v>697</v>
      </c>
      <c r="F260" s="19"/>
      <c r="G260" s="20">
        <v>1.0</v>
      </c>
      <c r="H260" s="21"/>
      <c r="I260" s="21">
        <v>382.0</v>
      </c>
      <c r="J260" s="22">
        <v>4.0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700</v>
      </c>
      <c r="P260" t="s">
        <v>699</v>
      </c>
      <c r="Q260" t="s">
        <v>699</v>
      </c>
    </row>
    <row r="261" spans="1:18" customHeight="1" ht="58">
      <c r="A261" s="16"/>
      <c r="B261" s="18" t="s">
        <v>696</v>
      </c>
      <c r="C261" s="17" t="s">
        <v>679</v>
      </c>
      <c r="D261" s="17" t="s">
        <v>331</v>
      </c>
      <c r="E261" s="17" t="s">
        <v>697</v>
      </c>
      <c r="F261" s="19"/>
      <c r="G261" s="20">
        <v>1.0</v>
      </c>
      <c r="H261" s="21"/>
      <c r="I261" s="21">
        <v>382.0</v>
      </c>
      <c r="J261" s="22">
        <v>6.0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702</v>
      </c>
      <c r="P261" t="s">
        <v>701</v>
      </c>
      <c r="Q261" t="s">
        <v>701</v>
      </c>
    </row>
    <row r="262" spans="1:18" customHeight="1" ht="58">
      <c r="A262" s="16"/>
      <c r="B262" s="18" t="s">
        <v>696</v>
      </c>
      <c r="C262" s="17" t="s">
        <v>679</v>
      </c>
      <c r="D262" s="17" t="s">
        <v>234</v>
      </c>
      <c r="E262" s="17" t="s">
        <v>697</v>
      </c>
      <c r="F262" s="19"/>
      <c r="G262" s="20">
        <v>1.0</v>
      </c>
      <c r="H262" s="21"/>
      <c r="I262" s="21">
        <v>382.0</v>
      </c>
      <c r="J262" s="22">
        <v>4.0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704</v>
      </c>
      <c r="P262" t="s">
        <v>703</v>
      </c>
      <c r="Q262" t="s">
        <v>703</v>
      </c>
    </row>
    <row r="263" spans="1:18" customHeight="1" ht="58">
      <c r="A263" s="16"/>
      <c r="B263" s="18" t="s">
        <v>696</v>
      </c>
      <c r="C263" s="17" t="s">
        <v>679</v>
      </c>
      <c r="D263" s="17" t="s">
        <v>324</v>
      </c>
      <c r="E263" s="17" t="s">
        <v>697</v>
      </c>
      <c r="F263" s="19"/>
      <c r="G263" s="20">
        <v>1.0</v>
      </c>
      <c r="H263" s="21"/>
      <c r="I263" s="21">
        <v>382.0</v>
      </c>
      <c r="J263" s="22">
        <v>1.0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706</v>
      </c>
      <c r="P263" t="s">
        <v>705</v>
      </c>
      <c r="Q263" t="s">
        <v>705</v>
      </c>
    </row>
    <row r="264" spans="1:18" customHeight="1" ht="58">
      <c r="A264" s="16"/>
      <c r="B264" s="18" t="s">
        <v>708</v>
      </c>
      <c r="C264" s="17" t="s">
        <v>709</v>
      </c>
      <c r="D264" s="17" t="s">
        <v>710</v>
      </c>
      <c r="E264" s="17" t="s">
        <v>711</v>
      </c>
      <c r="F264" s="19"/>
      <c r="G264" s="20">
        <v>1.0</v>
      </c>
      <c r="H264" s="21"/>
      <c r="I264" s="21">
        <v>145.0</v>
      </c>
      <c r="J264" s="22">
        <v>1.0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712</v>
      </c>
      <c r="P264" t="s">
        <v>707</v>
      </c>
      <c r="Q264" t="s">
        <v>707</v>
      </c>
    </row>
    <row r="265" spans="1:18" customHeight="1" ht="58">
      <c r="A265" s="16"/>
      <c r="B265" s="18" t="s">
        <v>708</v>
      </c>
      <c r="C265" s="17" t="s">
        <v>709</v>
      </c>
      <c r="D265" s="17" t="s">
        <v>193</v>
      </c>
      <c r="E265" s="17" t="s">
        <v>711</v>
      </c>
      <c r="F265" s="19"/>
      <c r="G265" s="20">
        <v>1.0</v>
      </c>
      <c r="H265" s="21"/>
      <c r="I265" s="21">
        <v>145.0</v>
      </c>
      <c r="J265" s="22">
        <v>6.0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714</v>
      </c>
      <c r="P265" t="s">
        <v>713</v>
      </c>
      <c r="Q265" t="s">
        <v>713</v>
      </c>
    </row>
    <row r="266" spans="1:18" customHeight="1" ht="58">
      <c r="A266" s="16"/>
      <c r="B266" s="18" t="s">
        <v>708</v>
      </c>
      <c r="C266" s="17" t="s">
        <v>709</v>
      </c>
      <c r="D266" s="17" t="s">
        <v>89</v>
      </c>
      <c r="E266" s="17" t="s">
        <v>711</v>
      </c>
      <c r="F266" s="19"/>
      <c r="G266" s="20">
        <v>1.0</v>
      </c>
      <c r="H266" s="21"/>
      <c r="I266" s="21"/>
      <c r="J266" s="22">
        <v>6.0</v>
      </c>
      <c r="K266" s="50"/>
      <c r="L266" s="21" t="str">
        <f>IF(K266&gt;0,"по запросу","")</f>
      </c>
      <c r="M266" s="52"/>
      <c r="N266" t="str">
        <f>IF(K266&gt;0,COUNTIF($K$7:K266,"&gt;0"),"")</f>
      </c>
      <c r="O266" t="s">
        <v>716</v>
      </c>
      <c r="P266" t="s">
        <v>715</v>
      </c>
      <c r="Q266" t="s">
        <v>715</v>
      </c>
    </row>
    <row r="267" spans="1:18" customHeight="1" ht="58">
      <c r="A267" s="16"/>
      <c r="B267" s="18" t="s">
        <v>708</v>
      </c>
      <c r="C267" s="17" t="s">
        <v>709</v>
      </c>
      <c r="D267" s="17" t="s">
        <v>205</v>
      </c>
      <c r="E267" s="17" t="s">
        <v>711</v>
      </c>
      <c r="F267" s="19"/>
      <c r="G267" s="20">
        <v>1.0</v>
      </c>
      <c r="H267" s="21"/>
      <c r="I267" s="21">
        <v>145.0</v>
      </c>
      <c r="J267" s="22">
        <v>2.0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718</v>
      </c>
      <c r="P267" t="s">
        <v>717</v>
      </c>
      <c r="Q267" t="s">
        <v>717</v>
      </c>
    </row>
    <row r="268" spans="1:18" customHeight="1" ht="58">
      <c r="A268" s="16"/>
      <c r="B268" s="18" t="s">
        <v>708</v>
      </c>
      <c r="C268" s="17" t="s">
        <v>709</v>
      </c>
      <c r="D268" s="17" t="s">
        <v>363</v>
      </c>
      <c r="E268" s="17" t="s">
        <v>711</v>
      </c>
      <c r="F268" s="19"/>
      <c r="G268" s="20">
        <v>1.0</v>
      </c>
      <c r="H268" s="21"/>
      <c r="I268" s="21">
        <v>145.0</v>
      </c>
      <c r="J268" s="22">
        <v>1.0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720</v>
      </c>
      <c r="P268" t="s">
        <v>719</v>
      </c>
      <c r="Q268" t="s">
        <v>719</v>
      </c>
    </row>
    <row r="269" spans="1:18" customHeight="1" ht="58">
      <c r="A269" s="16"/>
      <c r="B269" s="18" t="s">
        <v>722</v>
      </c>
      <c r="C269" s="17" t="s">
        <v>709</v>
      </c>
      <c r="D269" s="17" t="s">
        <v>363</v>
      </c>
      <c r="E269" s="17" t="s">
        <v>723</v>
      </c>
      <c r="F269" s="19"/>
      <c r="G269" s="20">
        <v>1.0</v>
      </c>
      <c r="H269" s="21"/>
      <c r="I269" s="21">
        <v>255.0</v>
      </c>
      <c r="J269" s="22">
        <v>5.0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724</v>
      </c>
      <c r="P269" t="s">
        <v>721</v>
      </c>
      <c r="Q269" t="s">
        <v>721</v>
      </c>
    </row>
    <row r="270" spans="1:18" customHeight="1" ht="58">
      <c r="A270" s="16"/>
      <c r="B270" s="18" t="s">
        <v>722</v>
      </c>
      <c r="C270" s="17" t="s">
        <v>709</v>
      </c>
      <c r="D270" s="17" t="s">
        <v>205</v>
      </c>
      <c r="E270" s="17" t="s">
        <v>723</v>
      </c>
      <c r="F270" s="19"/>
      <c r="G270" s="20">
        <v>1.0</v>
      </c>
      <c r="H270" s="21"/>
      <c r="I270" s="21">
        <v>255.0</v>
      </c>
      <c r="J270" s="22">
        <v>6.0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726</v>
      </c>
      <c r="P270" t="s">
        <v>725</v>
      </c>
      <c r="Q270" t="s">
        <v>725</v>
      </c>
    </row>
    <row r="271" spans="1:18" customHeight="1" ht="58">
      <c r="A271" s="16"/>
      <c r="B271" s="18" t="s">
        <v>722</v>
      </c>
      <c r="C271" s="17" t="s">
        <v>709</v>
      </c>
      <c r="D271" s="17" t="s">
        <v>193</v>
      </c>
      <c r="E271" s="17" t="s">
        <v>723</v>
      </c>
      <c r="F271" s="19"/>
      <c r="G271" s="20">
        <v>1.0</v>
      </c>
      <c r="H271" s="21"/>
      <c r="I271" s="21">
        <v>255.0</v>
      </c>
      <c r="J271" s="22">
        <v>2.0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728</v>
      </c>
      <c r="P271" t="s">
        <v>727</v>
      </c>
      <c r="Q271" t="s">
        <v>727</v>
      </c>
    </row>
    <row r="272" spans="1:18" customHeight="1" ht="58">
      <c r="A272" s="16"/>
      <c r="B272" s="18" t="s">
        <v>722</v>
      </c>
      <c r="C272" s="17" t="s">
        <v>709</v>
      </c>
      <c r="D272" s="17" t="s">
        <v>89</v>
      </c>
      <c r="E272" s="17" t="s">
        <v>723</v>
      </c>
      <c r="F272" s="19"/>
      <c r="G272" s="20">
        <v>1.0</v>
      </c>
      <c r="H272" s="21"/>
      <c r="I272" s="21">
        <v>255.0</v>
      </c>
      <c r="J272" s="22">
        <v>1.0</v>
      </c>
      <c r="K272" s="50"/>
      <c r="L272" s="21" t="str">
        <f>IF(K272&gt;0,K272*I272,"")</f>
      </c>
      <c r="M272" s="52"/>
      <c r="N272" t="str">
        <f>IF(K272&gt;0,COUNTIF($K$7:K272,"&gt;0"),"")</f>
      </c>
      <c r="O272" t="s">
        <v>730</v>
      </c>
      <c r="P272" t="s">
        <v>729</v>
      </c>
      <c r="Q272" t="s">
        <v>729</v>
      </c>
    </row>
    <row r="273" spans="1:18" customHeight="1" ht="58">
      <c r="A273" s="16"/>
      <c r="B273" s="18" t="s">
        <v>722</v>
      </c>
      <c r="C273" s="17" t="s">
        <v>709</v>
      </c>
      <c r="D273" s="17" t="s">
        <v>93</v>
      </c>
      <c r="E273" s="17" t="s">
        <v>723</v>
      </c>
      <c r="F273" s="19"/>
      <c r="G273" s="20">
        <v>1.0</v>
      </c>
      <c r="H273" s="21"/>
      <c r="I273" s="21">
        <v>255.0</v>
      </c>
      <c r="J273" s="22">
        <v>3.0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732</v>
      </c>
      <c r="P273" t="s">
        <v>731</v>
      </c>
      <c r="Q273" t="s">
        <v>731</v>
      </c>
    </row>
    <row r="274" spans="1:18" customHeight="1" ht="58">
      <c r="A274" s="16"/>
      <c r="B274" s="18" t="s">
        <v>734</v>
      </c>
      <c r="C274" s="17" t="s">
        <v>709</v>
      </c>
      <c r="D274" s="17" t="s">
        <v>205</v>
      </c>
      <c r="E274" s="17" t="s">
        <v>735</v>
      </c>
      <c r="F274" s="19"/>
      <c r="G274" s="20">
        <v>1.0</v>
      </c>
      <c r="H274" s="21"/>
      <c r="I274" s="21">
        <v>410.0</v>
      </c>
      <c r="J274" s="22">
        <v>5.0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736</v>
      </c>
      <c r="P274" t="s">
        <v>733</v>
      </c>
      <c r="Q274" t="s">
        <v>733</v>
      </c>
    </row>
    <row r="275" spans="1:18" customHeight="1" ht="58">
      <c r="A275" s="16"/>
      <c r="B275" s="18" t="s">
        <v>734</v>
      </c>
      <c r="C275" s="17" t="s">
        <v>709</v>
      </c>
      <c r="D275" s="17" t="s">
        <v>363</v>
      </c>
      <c r="E275" s="17" t="s">
        <v>735</v>
      </c>
      <c r="F275" s="19"/>
      <c r="G275" s="20">
        <v>1.0</v>
      </c>
      <c r="H275" s="21"/>
      <c r="I275" s="21">
        <v>410.0</v>
      </c>
      <c r="J275" s="22">
        <v>6.0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738</v>
      </c>
      <c r="P275" t="s">
        <v>737</v>
      </c>
      <c r="Q275" t="s">
        <v>737</v>
      </c>
    </row>
    <row r="276" spans="1:18" customHeight="1" ht="58">
      <c r="A276" s="16"/>
      <c r="B276" s="18" t="s">
        <v>734</v>
      </c>
      <c r="C276" s="17" t="s">
        <v>709</v>
      </c>
      <c r="D276" s="17" t="s">
        <v>91</v>
      </c>
      <c r="E276" s="17" t="s">
        <v>735</v>
      </c>
      <c r="F276" s="19"/>
      <c r="G276" s="20">
        <v>1.0</v>
      </c>
      <c r="H276" s="21"/>
      <c r="I276" s="21">
        <v>410.0</v>
      </c>
      <c r="J276" s="22">
        <v>3.0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740</v>
      </c>
      <c r="P276" t="s">
        <v>739</v>
      </c>
      <c r="Q276" t="s">
        <v>739</v>
      </c>
    </row>
    <row r="277" spans="1:18" customHeight="1" ht="58">
      <c r="A277" s="16"/>
      <c r="B277" s="18" t="s">
        <v>734</v>
      </c>
      <c r="C277" s="17" t="s">
        <v>709</v>
      </c>
      <c r="D277" s="17" t="s">
        <v>89</v>
      </c>
      <c r="E277" s="17" t="s">
        <v>735</v>
      </c>
      <c r="F277" s="19"/>
      <c r="G277" s="20">
        <v>1.0</v>
      </c>
      <c r="H277" s="21"/>
      <c r="I277" s="21">
        <v>410.0</v>
      </c>
      <c r="J277" s="22">
        <v>7.0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742</v>
      </c>
      <c r="P277" t="s">
        <v>741</v>
      </c>
      <c r="Q277" t="s">
        <v>741</v>
      </c>
    </row>
    <row r="278" spans="1:18" customHeight="1" ht="58">
      <c r="A278" s="16"/>
      <c r="B278" s="18" t="s">
        <v>734</v>
      </c>
      <c r="C278" s="17" t="s">
        <v>709</v>
      </c>
      <c r="D278" s="17" t="s">
        <v>93</v>
      </c>
      <c r="E278" s="17" t="s">
        <v>735</v>
      </c>
      <c r="F278" s="19"/>
      <c r="G278" s="20">
        <v>1.0</v>
      </c>
      <c r="H278" s="21"/>
      <c r="I278" s="21">
        <v>410.0</v>
      </c>
      <c r="J278" s="22">
        <v>1.0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744</v>
      </c>
      <c r="P278" t="s">
        <v>743</v>
      </c>
      <c r="Q278" t="s">
        <v>743</v>
      </c>
    </row>
    <row r="279" spans="1:18" customHeight="1" ht="58">
      <c r="A279" s="16"/>
      <c r="B279" s="18" t="s">
        <v>734</v>
      </c>
      <c r="C279" s="17" t="s">
        <v>709</v>
      </c>
      <c r="D279" s="17" t="s">
        <v>193</v>
      </c>
      <c r="E279" s="17" t="s">
        <v>735</v>
      </c>
      <c r="F279" s="19"/>
      <c r="G279" s="20">
        <v>1.0</v>
      </c>
      <c r="H279" s="21"/>
      <c r="I279" s="21">
        <v>410.0</v>
      </c>
      <c r="J279" s="22">
        <v>7.0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746</v>
      </c>
      <c r="P279" t="s">
        <v>745</v>
      </c>
      <c r="Q279" t="s">
        <v>745</v>
      </c>
    </row>
    <row r="280" spans="1:18" customHeight="1" ht="58">
      <c r="A280" s="16"/>
      <c r="B280" s="18" t="s">
        <v>734</v>
      </c>
      <c r="C280" s="17" t="s">
        <v>709</v>
      </c>
      <c r="D280" s="17" t="s">
        <v>710</v>
      </c>
      <c r="E280" s="17" t="s">
        <v>735</v>
      </c>
      <c r="F280" s="19"/>
      <c r="G280" s="20">
        <v>1.0</v>
      </c>
      <c r="H280" s="21"/>
      <c r="I280" s="21">
        <v>410.0</v>
      </c>
      <c r="J280" s="22">
        <v>5.0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748</v>
      </c>
      <c r="P280" t="s">
        <v>747</v>
      </c>
      <c r="Q280" t="s">
        <v>747</v>
      </c>
    </row>
    <row r="281" spans="1:18" customHeight="1" ht="58">
      <c r="A281" s="16"/>
      <c r="B281" s="18" t="s">
        <v>750</v>
      </c>
      <c r="C281" s="17" t="s">
        <v>751</v>
      </c>
      <c r="D281" s="17" t="s">
        <v>752</v>
      </c>
      <c r="E281" s="17" t="s">
        <v>120</v>
      </c>
      <c r="F281" s="19"/>
      <c r="G281" s="20">
        <v>1.0</v>
      </c>
      <c r="H281" s="21"/>
      <c r="I281" s="21">
        <v>310.0</v>
      </c>
      <c r="J281" s="22">
        <v>3.0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753</v>
      </c>
      <c r="P281" t="s">
        <v>749</v>
      </c>
      <c r="Q281" t="s">
        <v>749</v>
      </c>
    </row>
    <row r="282" spans="1:18" customHeight="1" ht="58">
      <c r="A282" s="16"/>
      <c r="B282" s="18" t="s">
        <v>750</v>
      </c>
      <c r="C282" s="17" t="s">
        <v>751</v>
      </c>
      <c r="D282" s="17" t="s">
        <v>134</v>
      </c>
      <c r="E282" s="17" t="s">
        <v>120</v>
      </c>
      <c r="F282" s="19"/>
      <c r="G282" s="20">
        <v>1.0</v>
      </c>
      <c r="H282" s="21"/>
      <c r="I282" s="21">
        <v>370.0</v>
      </c>
      <c r="J282" s="22">
        <v>1.0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755</v>
      </c>
      <c r="P282" t="s">
        <v>754</v>
      </c>
      <c r="Q282" t="s">
        <v>754</v>
      </c>
    </row>
    <row r="283" spans="1:18" customHeight="1" ht="58">
      <c r="A283" s="16"/>
      <c r="B283" s="18" t="s">
        <v>750</v>
      </c>
      <c r="C283" s="17" t="s">
        <v>751</v>
      </c>
      <c r="D283" s="17" t="s">
        <v>93</v>
      </c>
      <c r="E283" s="17" t="s">
        <v>120</v>
      </c>
      <c r="F283" s="19"/>
      <c r="G283" s="20">
        <v>1.0</v>
      </c>
      <c r="H283" s="21"/>
      <c r="I283" s="21">
        <v>370.0</v>
      </c>
      <c r="J283" s="22">
        <v>3.0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757</v>
      </c>
      <c r="P283" t="s">
        <v>756</v>
      </c>
      <c r="Q283" t="s">
        <v>756</v>
      </c>
    </row>
    <row r="284" spans="1:18" customHeight="1" ht="58">
      <c r="A284" s="16"/>
      <c r="B284" s="18" t="s">
        <v>750</v>
      </c>
      <c r="C284" s="17" t="s">
        <v>751</v>
      </c>
      <c r="D284" s="17" t="s">
        <v>759</v>
      </c>
      <c r="E284" s="17" t="s">
        <v>120</v>
      </c>
      <c r="F284" s="19"/>
      <c r="G284" s="20">
        <v>1.0</v>
      </c>
      <c r="H284" s="21"/>
      <c r="I284" s="21">
        <v>310.0</v>
      </c>
      <c r="J284" s="22">
        <v>2.0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760</v>
      </c>
      <c r="P284" t="s">
        <v>758</v>
      </c>
      <c r="Q284" t="s">
        <v>758</v>
      </c>
    </row>
    <row r="285" spans="1:18" customHeight="1" ht="58">
      <c r="A285" s="16"/>
      <c r="B285" s="18" t="s">
        <v>762</v>
      </c>
      <c r="C285" s="17" t="s">
        <v>751</v>
      </c>
      <c r="D285" s="17" t="s">
        <v>93</v>
      </c>
      <c r="E285" s="17" t="s">
        <v>568</v>
      </c>
      <c r="F285" s="19"/>
      <c r="G285" s="20">
        <v>1.0</v>
      </c>
      <c r="H285" s="21"/>
      <c r="I285" s="21">
        <v>630.0</v>
      </c>
      <c r="J285" s="22">
        <v>1.0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763</v>
      </c>
      <c r="P285" t="s">
        <v>761</v>
      </c>
      <c r="Q285" t="s">
        <v>761</v>
      </c>
    </row>
    <row r="286" spans="1:18" customHeight="1" ht="58">
      <c r="A286" s="16"/>
      <c r="B286" s="18" t="s">
        <v>765</v>
      </c>
      <c r="C286" s="17" t="s">
        <v>766</v>
      </c>
      <c r="D286" s="17" t="s">
        <v>767</v>
      </c>
      <c r="E286" s="17" t="s">
        <v>768</v>
      </c>
      <c r="F286" s="19"/>
      <c r="G286" s="20">
        <v>1.0</v>
      </c>
      <c r="H286" s="21"/>
      <c r="I286" s="21">
        <v>209.0</v>
      </c>
      <c r="J286" s="22">
        <v>10.0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769</v>
      </c>
      <c r="P286" t="s">
        <v>764</v>
      </c>
      <c r="Q286" t="s">
        <v>764</v>
      </c>
    </row>
    <row r="287" spans="1:18" customHeight="1" ht="58">
      <c r="A287" s="16"/>
      <c r="B287" s="18" t="s">
        <v>765</v>
      </c>
      <c r="C287" s="17" t="s">
        <v>766</v>
      </c>
      <c r="D287" s="17" t="s">
        <v>258</v>
      </c>
      <c r="E287" s="17" t="s">
        <v>768</v>
      </c>
      <c r="F287" s="19"/>
      <c r="G287" s="20">
        <v>1.0</v>
      </c>
      <c r="H287" s="21"/>
      <c r="I287" s="21">
        <v>209.0</v>
      </c>
      <c r="J287" s="22">
        <v>10.0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771</v>
      </c>
      <c r="P287" t="s">
        <v>770</v>
      </c>
      <c r="Q287" t="s">
        <v>770</v>
      </c>
    </row>
    <row r="288" spans="1:18" customHeight="1" ht="58">
      <c r="A288" s="16"/>
      <c r="B288" s="18" t="s">
        <v>765</v>
      </c>
      <c r="C288" s="17" t="s">
        <v>766</v>
      </c>
      <c r="D288" s="17" t="s">
        <v>249</v>
      </c>
      <c r="E288" s="17" t="s">
        <v>768</v>
      </c>
      <c r="F288" s="19"/>
      <c r="G288" s="20">
        <v>1.0</v>
      </c>
      <c r="H288" s="21"/>
      <c r="I288" s="21">
        <v>209.0</v>
      </c>
      <c r="J288" s="22">
        <v>10.0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773</v>
      </c>
      <c r="P288" t="s">
        <v>772</v>
      </c>
      <c r="Q288" t="s">
        <v>772</v>
      </c>
    </row>
    <row r="289" spans="1:18" customHeight="1" ht="58">
      <c r="A289" s="16"/>
      <c r="B289" s="18" t="s">
        <v>775</v>
      </c>
      <c r="C289" s="17" t="s">
        <v>766</v>
      </c>
      <c r="D289" s="17" t="s">
        <v>258</v>
      </c>
      <c r="E289" s="17" t="s">
        <v>776</v>
      </c>
      <c r="F289" s="19"/>
      <c r="G289" s="20">
        <v>1.0</v>
      </c>
      <c r="H289" s="21"/>
      <c r="I289" s="21">
        <v>281.0</v>
      </c>
      <c r="J289" s="22">
        <v>8.0</v>
      </c>
      <c r="K289" s="50"/>
      <c r="L289" s="21" t="str">
        <f>IF(K289&gt;0,K289*I289,"")</f>
      </c>
      <c r="M289" s="52"/>
      <c r="N289" t="str">
        <f>IF(K289&gt;0,COUNTIF($K$7:K289,"&gt;0"),"")</f>
      </c>
      <c r="P289" t="s">
        <v>774</v>
      </c>
      <c r="Q289" t="s">
        <v>774</v>
      </c>
    </row>
    <row r="290" spans="1:18" customHeight="1" ht="58">
      <c r="A290" s="16"/>
      <c r="B290" s="18" t="s">
        <v>775</v>
      </c>
      <c r="C290" s="17" t="s">
        <v>766</v>
      </c>
      <c r="D290" s="17" t="s">
        <v>767</v>
      </c>
      <c r="E290" s="17" t="s">
        <v>776</v>
      </c>
      <c r="F290" s="19"/>
      <c r="G290" s="20">
        <v>1.0</v>
      </c>
      <c r="H290" s="21"/>
      <c r="I290" s="21">
        <v>281.0</v>
      </c>
      <c r="J290" s="22">
        <v>8.0</v>
      </c>
      <c r="K290" s="50"/>
      <c r="L290" s="21" t="str">
        <f>IF(K290&gt;0,K290*I290,"")</f>
      </c>
      <c r="M290" s="52"/>
      <c r="N290" t="str">
        <f>IF(K290&gt;0,COUNTIF($K$7:K290,"&gt;0"),"")</f>
      </c>
      <c r="P290" t="s">
        <v>777</v>
      </c>
      <c r="Q290" t="s">
        <v>777</v>
      </c>
    </row>
    <row r="291" spans="1:18" customHeight="1" ht="58">
      <c r="A291" s="16"/>
      <c r="B291" s="18" t="s">
        <v>775</v>
      </c>
      <c r="C291" s="17" t="s">
        <v>766</v>
      </c>
      <c r="D291" s="17" t="s">
        <v>249</v>
      </c>
      <c r="E291" s="17" t="s">
        <v>776</v>
      </c>
      <c r="F291" s="19"/>
      <c r="G291" s="20">
        <v>1.0</v>
      </c>
      <c r="H291" s="21"/>
      <c r="I291" s="21">
        <v>281.0</v>
      </c>
      <c r="J291" s="22">
        <v>8.0</v>
      </c>
      <c r="K291" s="50"/>
      <c r="L291" s="21" t="str">
        <f>IF(K291&gt;0,K291*I291,"")</f>
      </c>
      <c r="M291" s="52"/>
      <c r="N291" t="str">
        <f>IF(K291&gt;0,COUNTIF($K$7:K291,"&gt;0"),"")</f>
      </c>
      <c r="P291" t="s">
        <v>778</v>
      </c>
      <c r="Q291" t="s">
        <v>778</v>
      </c>
    </row>
    <row r="292" spans="1:18" customHeight="1" ht="58">
      <c r="A292" s="16"/>
      <c r="B292" s="18" t="s">
        <v>780</v>
      </c>
      <c r="C292" s="17" t="s">
        <v>766</v>
      </c>
      <c r="D292" s="17" t="s">
        <v>249</v>
      </c>
      <c r="E292" s="17" t="s">
        <v>781</v>
      </c>
      <c r="F292" s="19"/>
      <c r="G292" s="20">
        <v>1.0</v>
      </c>
      <c r="H292" s="21"/>
      <c r="I292" s="21">
        <v>415.0</v>
      </c>
      <c r="J292" s="22">
        <v>8.0</v>
      </c>
      <c r="K292" s="50"/>
      <c r="L292" s="21" t="str">
        <f>IF(K292&gt;0,K292*I292,"")</f>
      </c>
      <c r="M292" s="52"/>
      <c r="N292" t="str">
        <f>IF(K292&gt;0,COUNTIF($K$7:K292,"&gt;0"),"")</f>
      </c>
      <c r="P292" t="s">
        <v>779</v>
      </c>
      <c r="Q292" t="s">
        <v>779</v>
      </c>
    </row>
    <row r="293" spans="1:18" customHeight="1" ht="58">
      <c r="A293" s="16"/>
      <c r="B293" s="18" t="s">
        <v>780</v>
      </c>
      <c r="C293" s="17" t="s">
        <v>766</v>
      </c>
      <c r="D293" s="17" t="s">
        <v>258</v>
      </c>
      <c r="E293" s="17" t="s">
        <v>781</v>
      </c>
      <c r="F293" s="19"/>
      <c r="G293" s="20">
        <v>1.0</v>
      </c>
      <c r="H293" s="21"/>
      <c r="I293" s="21">
        <v>415.0</v>
      </c>
      <c r="J293" s="22">
        <v>8.0</v>
      </c>
      <c r="K293" s="50"/>
      <c r="L293" s="21" t="str">
        <f>IF(K293&gt;0,K293*I293,"")</f>
      </c>
      <c r="M293" s="52"/>
      <c r="N293" t="str">
        <f>IF(K293&gt;0,COUNTIF($K$7:K293,"&gt;0"),"")</f>
      </c>
      <c r="P293" t="s">
        <v>782</v>
      </c>
      <c r="Q293" t="s">
        <v>782</v>
      </c>
    </row>
    <row r="294" spans="1:18" customHeight="1" ht="58">
      <c r="A294" s="16"/>
      <c r="B294" s="18" t="s">
        <v>784</v>
      </c>
      <c r="C294" s="17" t="s">
        <v>766</v>
      </c>
      <c r="D294" s="17" t="s">
        <v>252</v>
      </c>
      <c r="E294" s="17" t="s">
        <v>785</v>
      </c>
      <c r="F294" s="19"/>
      <c r="G294" s="20">
        <v>1.0</v>
      </c>
      <c r="H294" s="21"/>
      <c r="I294" s="21">
        <v>699.0</v>
      </c>
      <c r="J294" s="22">
        <v>4.0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786</v>
      </c>
      <c r="P294" t="s">
        <v>783</v>
      </c>
      <c r="Q294" t="s">
        <v>783</v>
      </c>
    </row>
    <row r="295" spans="1:18" customHeight="1" ht="58">
      <c r="A295" s="16"/>
      <c r="B295" s="18" t="s">
        <v>784</v>
      </c>
      <c r="C295" s="17" t="s">
        <v>766</v>
      </c>
      <c r="D295" s="17" t="s">
        <v>258</v>
      </c>
      <c r="E295" s="17" t="s">
        <v>785</v>
      </c>
      <c r="F295" s="19"/>
      <c r="G295" s="20">
        <v>1.0</v>
      </c>
      <c r="H295" s="21"/>
      <c r="I295" s="21">
        <v>699.0</v>
      </c>
      <c r="J295" s="22">
        <v>4.0</v>
      </c>
      <c r="K295" s="50"/>
      <c r="L295" s="21" t="str">
        <f>IF(K295&gt;0,K295*I295,"")</f>
      </c>
      <c r="M295" s="52"/>
      <c r="N295" t="str">
        <f>IF(K295&gt;0,COUNTIF($K$7:K295,"&gt;0"),"")</f>
      </c>
      <c r="P295" t="s">
        <v>787</v>
      </c>
      <c r="Q295" t="s">
        <v>787</v>
      </c>
    </row>
    <row r="296" spans="1:18" customHeight="1" ht="58">
      <c r="A296" s="16"/>
      <c r="B296" s="18" t="s">
        <v>784</v>
      </c>
      <c r="C296" s="17" t="s">
        <v>766</v>
      </c>
      <c r="D296" s="17" t="s">
        <v>249</v>
      </c>
      <c r="E296" s="17" t="s">
        <v>785</v>
      </c>
      <c r="F296" s="19"/>
      <c r="G296" s="20">
        <v>1.0</v>
      </c>
      <c r="H296" s="21"/>
      <c r="I296" s="21">
        <v>699.0</v>
      </c>
      <c r="J296" s="22">
        <v>7.0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789</v>
      </c>
      <c r="P296" t="s">
        <v>788</v>
      </c>
      <c r="Q296" t="s">
        <v>788</v>
      </c>
    </row>
    <row r="297" spans="1:18" customHeight="1" ht="58">
      <c r="A297" s="16"/>
      <c r="B297" s="18" t="s">
        <v>791</v>
      </c>
      <c r="C297" s="17" t="s">
        <v>792</v>
      </c>
      <c r="D297" s="17" t="s">
        <v>512</v>
      </c>
      <c r="E297" s="17" t="s">
        <v>793</v>
      </c>
      <c r="F297" s="19"/>
      <c r="G297" s="20">
        <v>1.0</v>
      </c>
      <c r="H297" s="21"/>
      <c r="I297" s="21">
        <v>215.0</v>
      </c>
      <c r="J297" s="22">
        <v>11.0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794</v>
      </c>
      <c r="P297" t="s">
        <v>790</v>
      </c>
      <c r="Q297" t="s">
        <v>790</v>
      </c>
    </row>
    <row r="298" spans="1:18" customHeight="1" ht="58">
      <c r="A298" s="16"/>
      <c r="B298" s="18" t="s">
        <v>791</v>
      </c>
      <c r="C298" s="17" t="s">
        <v>792</v>
      </c>
      <c r="D298" s="17" t="s">
        <v>505</v>
      </c>
      <c r="E298" s="17" t="s">
        <v>793</v>
      </c>
      <c r="F298" s="19"/>
      <c r="G298" s="20">
        <v>1.0</v>
      </c>
      <c r="H298" s="21"/>
      <c r="I298" s="21">
        <v>215.0</v>
      </c>
      <c r="J298" s="22">
        <v>15.0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796</v>
      </c>
      <c r="P298" t="s">
        <v>795</v>
      </c>
      <c r="Q298" t="s">
        <v>795</v>
      </c>
    </row>
    <row r="299" spans="1:18" customHeight="1" ht="58">
      <c r="A299" s="16"/>
      <c r="B299" s="18" t="s">
        <v>791</v>
      </c>
      <c r="C299" s="17" t="s">
        <v>792</v>
      </c>
      <c r="D299" s="17" t="s">
        <v>515</v>
      </c>
      <c r="E299" s="17" t="s">
        <v>793</v>
      </c>
      <c r="F299" s="19"/>
      <c r="G299" s="20">
        <v>1.0</v>
      </c>
      <c r="H299" s="21"/>
      <c r="I299" s="21">
        <v>215.0</v>
      </c>
      <c r="J299" s="22">
        <v>11.0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798</v>
      </c>
      <c r="P299" t="s">
        <v>797</v>
      </c>
      <c r="Q299" t="s">
        <v>797</v>
      </c>
    </row>
    <row r="300" spans="1:18" customHeight="1" ht="58">
      <c r="A300" s="16"/>
      <c r="B300" s="18" t="s">
        <v>800</v>
      </c>
      <c r="C300" s="17" t="s">
        <v>792</v>
      </c>
      <c r="D300" s="17" t="s">
        <v>512</v>
      </c>
      <c r="E300" s="17" t="s">
        <v>801</v>
      </c>
      <c r="F300" s="19"/>
      <c r="G300" s="20">
        <v>1.0</v>
      </c>
      <c r="H300" s="21"/>
      <c r="I300" s="21">
        <v>285.0</v>
      </c>
      <c r="J300" s="22">
        <v>12.0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802</v>
      </c>
      <c r="P300" t="s">
        <v>799</v>
      </c>
      <c r="Q300" t="s">
        <v>799</v>
      </c>
    </row>
    <row r="301" spans="1:18" customHeight="1" ht="58">
      <c r="A301" s="16"/>
      <c r="B301" s="18" t="s">
        <v>800</v>
      </c>
      <c r="C301" s="17" t="s">
        <v>792</v>
      </c>
      <c r="D301" s="17" t="s">
        <v>515</v>
      </c>
      <c r="E301" s="17" t="s">
        <v>801</v>
      </c>
      <c r="F301" s="19"/>
      <c r="G301" s="20">
        <v>1.0</v>
      </c>
      <c r="H301" s="21"/>
      <c r="I301" s="21">
        <v>285.0</v>
      </c>
      <c r="J301" s="22">
        <v>9.0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804</v>
      </c>
      <c r="P301" t="s">
        <v>803</v>
      </c>
      <c r="Q301" t="s">
        <v>803</v>
      </c>
    </row>
    <row r="302" spans="1:18" customHeight="1" ht="58">
      <c r="A302" s="16"/>
      <c r="B302" s="18" t="s">
        <v>800</v>
      </c>
      <c r="C302" s="17" t="s">
        <v>792</v>
      </c>
      <c r="D302" s="17" t="s">
        <v>654</v>
      </c>
      <c r="E302" s="17" t="s">
        <v>801</v>
      </c>
      <c r="F302" s="19"/>
      <c r="G302" s="20">
        <v>1.0</v>
      </c>
      <c r="H302" s="21"/>
      <c r="I302" s="21">
        <v>285.0</v>
      </c>
      <c r="J302" s="22">
        <v>4.0</v>
      </c>
      <c r="K302" s="50"/>
      <c r="L302" s="21" t="str">
        <f>IF(K302&gt;0,K302*I302,"")</f>
      </c>
      <c r="M302" s="52"/>
      <c r="N302" t="str">
        <f>IF(K302&gt;0,COUNTIF($K$7:K302,"&gt;0"),"")</f>
      </c>
      <c r="O302" t="s">
        <v>806</v>
      </c>
      <c r="P302" t="s">
        <v>805</v>
      </c>
      <c r="Q302" t="s">
        <v>805</v>
      </c>
    </row>
    <row r="303" spans="1:18" customHeight="1" ht="58">
      <c r="A303" s="16"/>
      <c r="B303" s="18" t="s">
        <v>800</v>
      </c>
      <c r="C303" s="17" t="s">
        <v>792</v>
      </c>
      <c r="D303" s="17" t="s">
        <v>505</v>
      </c>
      <c r="E303" s="17" t="s">
        <v>801</v>
      </c>
      <c r="F303" s="19"/>
      <c r="G303" s="20">
        <v>1.0</v>
      </c>
      <c r="H303" s="21"/>
      <c r="I303" s="21">
        <v>285.0</v>
      </c>
      <c r="J303" s="22">
        <v>12.0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808</v>
      </c>
      <c r="P303" t="s">
        <v>807</v>
      </c>
      <c r="Q303" t="s">
        <v>807</v>
      </c>
    </row>
    <row r="304" spans="1:18" customHeight="1" ht="58">
      <c r="A304" s="16"/>
      <c r="B304" s="18" t="s">
        <v>810</v>
      </c>
      <c r="C304" s="17" t="s">
        <v>811</v>
      </c>
      <c r="D304" s="17" t="s">
        <v>520</v>
      </c>
      <c r="E304" s="17" t="s">
        <v>521</v>
      </c>
      <c r="F304" s="19"/>
      <c r="G304" s="20">
        <v>1.0</v>
      </c>
      <c r="H304" s="21"/>
      <c r="I304" s="21">
        <v>55.0</v>
      </c>
      <c r="J304" s="22">
        <v>10.0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812</v>
      </c>
      <c r="P304" t="s">
        <v>809</v>
      </c>
      <c r="Q304" t="s">
        <v>809</v>
      </c>
    </row>
    <row r="305" spans="1:18" customHeight="1" ht="58">
      <c r="A305" s="16"/>
      <c r="B305" s="18" t="s">
        <v>810</v>
      </c>
      <c r="C305" s="17" t="s">
        <v>811</v>
      </c>
      <c r="D305" s="17" t="s">
        <v>312</v>
      </c>
      <c r="E305" s="17" t="s">
        <v>521</v>
      </c>
      <c r="F305" s="19"/>
      <c r="G305" s="20">
        <v>1.0</v>
      </c>
      <c r="H305" s="21"/>
      <c r="I305" s="21">
        <v>55.0</v>
      </c>
      <c r="J305" s="22">
        <v>20.0</v>
      </c>
      <c r="K305" s="50"/>
      <c r="L305" s="21" t="str">
        <f>IF(K305&gt;0,K305*I305,"")</f>
      </c>
      <c r="M305" s="52"/>
      <c r="N305" t="str">
        <f>IF(K305&gt;0,COUNTIF($K$7:K305,"&gt;0"),"")</f>
      </c>
      <c r="O305" t="s">
        <v>812</v>
      </c>
      <c r="P305" t="s">
        <v>813</v>
      </c>
      <c r="Q305" t="s">
        <v>813</v>
      </c>
    </row>
    <row r="306" spans="1:18" customHeight="1" ht="58">
      <c r="A306" s="16"/>
      <c r="B306" s="18" t="s">
        <v>810</v>
      </c>
      <c r="C306" s="17" t="s">
        <v>811</v>
      </c>
      <c r="D306" s="17" t="s">
        <v>815</v>
      </c>
      <c r="E306" s="17" t="s">
        <v>521</v>
      </c>
      <c r="F306" s="19"/>
      <c r="G306" s="20">
        <v>1.0</v>
      </c>
      <c r="H306" s="21"/>
      <c r="I306" s="21">
        <v>55.0</v>
      </c>
      <c r="J306" s="22">
        <v>28.0</v>
      </c>
      <c r="K306" s="50"/>
      <c r="L306" s="21" t="str">
        <f>IF(K306&gt;0,K306*I306,"")</f>
      </c>
      <c r="M306" s="52"/>
      <c r="N306" t="str">
        <f>IF(K306&gt;0,COUNTIF($K$7:K306,"&gt;0"),"")</f>
      </c>
      <c r="O306" t="s">
        <v>816</v>
      </c>
      <c r="P306" t="s">
        <v>814</v>
      </c>
      <c r="Q306" t="s">
        <v>814</v>
      </c>
    </row>
    <row r="307" spans="1:18" customHeight="1" ht="58">
      <c r="A307" s="16"/>
      <c r="B307" s="18" t="s">
        <v>810</v>
      </c>
      <c r="C307" s="17" t="s">
        <v>811</v>
      </c>
      <c r="D307" s="17" t="s">
        <v>818</v>
      </c>
      <c r="E307" s="17" t="s">
        <v>521</v>
      </c>
      <c r="F307" s="19"/>
      <c r="G307" s="20">
        <v>1.0</v>
      </c>
      <c r="H307" s="21"/>
      <c r="I307" s="21">
        <v>55.0</v>
      </c>
      <c r="J307" s="22">
        <v>10.0</v>
      </c>
      <c r="K307" s="50"/>
      <c r="L307" s="21" t="str">
        <f>IF(K307&gt;0,K307*I307,"")</f>
      </c>
      <c r="M307" s="52"/>
      <c r="N307" t="str">
        <f>IF(K307&gt;0,COUNTIF($K$7:K307,"&gt;0"),"")</f>
      </c>
      <c r="O307" t="s">
        <v>819</v>
      </c>
      <c r="P307" t="s">
        <v>817</v>
      </c>
      <c r="Q307" t="s">
        <v>817</v>
      </c>
    </row>
    <row r="308" spans="1:18" customHeight="1" ht="58">
      <c r="A308" s="16"/>
      <c r="B308" s="18" t="s">
        <v>810</v>
      </c>
      <c r="C308" s="17" t="s">
        <v>811</v>
      </c>
      <c r="D308" s="17" t="s">
        <v>821</v>
      </c>
      <c r="E308" s="17" t="s">
        <v>521</v>
      </c>
      <c r="F308" s="19"/>
      <c r="G308" s="20">
        <v>1.0</v>
      </c>
      <c r="H308" s="21"/>
      <c r="I308" s="21">
        <v>55.0</v>
      </c>
      <c r="J308" s="22">
        <v>25.0</v>
      </c>
      <c r="K308" s="50"/>
      <c r="L308" s="21" t="str">
        <f>IF(K308&gt;0,K308*I308,"")</f>
      </c>
      <c r="M308" s="52"/>
      <c r="N308" t="str">
        <f>IF(K308&gt;0,COUNTIF($K$7:K308,"&gt;0"),"")</f>
      </c>
      <c r="O308" t="s">
        <v>822</v>
      </c>
      <c r="P308" t="s">
        <v>820</v>
      </c>
      <c r="Q308" t="s">
        <v>820</v>
      </c>
    </row>
    <row r="309" spans="1:18" customHeight="1" ht="58">
      <c r="A309" s="16"/>
      <c r="B309" s="18" t="s">
        <v>810</v>
      </c>
      <c r="C309" s="17" t="s">
        <v>811</v>
      </c>
      <c r="D309" s="17" t="s">
        <v>824</v>
      </c>
      <c r="E309" s="17" t="s">
        <v>521</v>
      </c>
      <c r="F309" s="19"/>
      <c r="G309" s="20">
        <v>1.0</v>
      </c>
      <c r="H309" s="21"/>
      <c r="I309" s="21">
        <v>55.0</v>
      </c>
      <c r="J309" s="22">
        <v>48.0</v>
      </c>
      <c r="K309" s="50"/>
      <c r="L309" s="21" t="str">
        <f>IF(K309&gt;0,K309*I309,"")</f>
      </c>
      <c r="M309" s="52"/>
      <c r="N309" t="str">
        <f>IF(K309&gt;0,COUNTIF($K$7:K309,"&gt;0"),"")</f>
      </c>
      <c r="O309" t="s">
        <v>825</v>
      </c>
      <c r="P309" t="s">
        <v>823</v>
      </c>
      <c r="Q309" t="s">
        <v>823</v>
      </c>
    </row>
    <row r="310" spans="1:18" customHeight="1" ht="58">
      <c r="A310" s="16"/>
      <c r="B310" s="18" t="s">
        <v>827</v>
      </c>
      <c r="C310" s="17" t="s">
        <v>811</v>
      </c>
      <c r="D310" s="17" t="s">
        <v>336</v>
      </c>
      <c r="E310" s="17" t="s">
        <v>86</v>
      </c>
      <c r="F310" s="19"/>
      <c r="G310" s="20">
        <v>1.0</v>
      </c>
      <c r="H310" s="21"/>
      <c r="I310" s="21">
        <v>198.0</v>
      </c>
      <c r="J310" s="22">
        <v>44.0</v>
      </c>
      <c r="K310" s="50"/>
      <c r="L310" s="21" t="str">
        <f>IF(K310&gt;0,K310*I310,"")</f>
      </c>
      <c r="M310" s="52"/>
      <c r="N310" t="str">
        <f>IF(K310&gt;0,COUNTIF($K$7:K310,"&gt;0"),"")</f>
      </c>
      <c r="O310" t="s">
        <v>828</v>
      </c>
      <c r="P310" t="s">
        <v>826</v>
      </c>
      <c r="Q310" t="s">
        <v>826</v>
      </c>
    </row>
    <row r="311" spans="1:18" customHeight="1" ht="58">
      <c r="A311" s="16"/>
      <c r="B311" s="18" t="s">
        <v>827</v>
      </c>
      <c r="C311" s="17" t="s">
        <v>811</v>
      </c>
      <c r="D311" s="17" t="s">
        <v>830</v>
      </c>
      <c r="E311" s="17" t="s">
        <v>86</v>
      </c>
      <c r="F311" s="19"/>
      <c r="G311" s="20">
        <v>1.0</v>
      </c>
      <c r="H311" s="21"/>
      <c r="I311" s="21">
        <v>198.0</v>
      </c>
      <c r="J311" s="22">
        <v>40.0</v>
      </c>
      <c r="K311" s="50"/>
      <c r="L311" s="21" t="str">
        <f>IF(K311&gt;0,K311*I311,"")</f>
      </c>
      <c r="M311" s="52"/>
      <c r="N311" t="str">
        <f>IF(K311&gt;0,COUNTIF($K$7:K311,"&gt;0"),"")</f>
      </c>
      <c r="O311" t="s">
        <v>831</v>
      </c>
      <c r="P311" t="s">
        <v>829</v>
      </c>
      <c r="Q311" t="s">
        <v>829</v>
      </c>
    </row>
    <row r="312" spans="1:18" customHeight="1" ht="58">
      <c r="A312" s="16"/>
      <c r="B312" s="18" t="s">
        <v>827</v>
      </c>
      <c r="C312" s="17" t="s">
        <v>811</v>
      </c>
      <c r="D312" s="17" t="s">
        <v>833</v>
      </c>
      <c r="E312" s="17" t="s">
        <v>86</v>
      </c>
      <c r="F312" s="19"/>
      <c r="G312" s="20">
        <v>1.0</v>
      </c>
      <c r="H312" s="21"/>
      <c r="I312" s="21">
        <v>198.0</v>
      </c>
      <c r="J312" s="22">
        <v>42.0</v>
      </c>
      <c r="K312" s="50"/>
      <c r="L312" s="21" t="str">
        <f>IF(K312&gt;0,K312*I312,"")</f>
      </c>
      <c r="M312" s="52"/>
      <c r="N312" t="str">
        <f>IF(K312&gt;0,COUNTIF($K$7:K312,"&gt;0"),"")</f>
      </c>
      <c r="O312" t="s">
        <v>834</v>
      </c>
      <c r="P312" t="s">
        <v>832</v>
      </c>
      <c r="Q312" t="s">
        <v>832</v>
      </c>
    </row>
    <row r="313" spans="1:18" customHeight="1" ht="58">
      <c r="A313" s="16"/>
      <c r="B313" s="18" t="s">
        <v>827</v>
      </c>
      <c r="C313" s="17" t="s">
        <v>811</v>
      </c>
      <c r="D313" s="17" t="s">
        <v>302</v>
      </c>
      <c r="E313" s="17" t="s">
        <v>86</v>
      </c>
      <c r="F313" s="19"/>
      <c r="G313" s="20">
        <v>1.0</v>
      </c>
      <c r="H313" s="21"/>
      <c r="I313" s="21">
        <v>198.0</v>
      </c>
      <c r="J313" s="22">
        <v>44.0</v>
      </c>
      <c r="K313" s="50"/>
      <c r="L313" s="21" t="str">
        <f>IF(K313&gt;0,K313*I313,"")</f>
      </c>
      <c r="M313" s="52"/>
      <c r="N313" t="str">
        <f>IF(K313&gt;0,COUNTIF($K$7:K313,"&gt;0"),"")</f>
      </c>
      <c r="O313" t="s">
        <v>836</v>
      </c>
      <c r="P313" t="s">
        <v>835</v>
      </c>
      <c r="Q313" t="s">
        <v>835</v>
      </c>
    </row>
    <row r="314" spans="1:18" customHeight="1" ht="58">
      <c r="A314" s="16"/>
      <c r="B314" s="18" t="s">
        <v>827</v>
      </c>
      <c r="C314" s="17" t="s">
        <v>811</v>
      </c>
      <c r="D314" s="17" t="s">
        <v>552</v>
      </c>
      <c r="E314" s="17" t="s">
        <v>86</v>
      </c>
      <c r="F314" s="19"/>
      <c r="G314" s="20">
        <v>1.0</v>
      </c>
      <c r="H314" s="21"/>
      <c r="I314" s="21">
        <v>198.0</v>
      </c>
      <c r="J314" s="22">
        <v>26.0</v>
      </c>
      <c r="K314" s="50"/>
      <c r="L314" s="21" t="str">
        <f>IF(K314&gt;0,K314*I314,"")</f>
      </c>
      <c r="M314" s="52"/>
      <c r="N314" t="str">
        <f>IF(K314&gt;0,COUNTIF($K$7:K314,"&gt;0"),"")</f>
      </c>
      <c r="O314" t="s">
        <v>838</v>
      </c>
      <c r="P314" t="s">
        <v>837</v>
      </c>
      <c r="Q314" t="s">
        <v>837</v>
      </c>
    </row>
    <row r="315" spans="1:18" customHeight="1" ht="58">
      <c r="A315" s="16"/>
      <c r="B315" s="18" t="s">
        <v>827</v>
      </c>
      <c r="C315" s="17" t="s">
        <v>811</v>
      </c>
      <c r="D315" s="17" t="s">
        <v>840</v>
      </c>
      <c r="E315" s="17" t="s">
        <v>86</v>
      </c>
      <c r="F315" s="19"/>
      <c r="G315" s="20">
        <v>1.0</v>
      </c>
      <c r="H315" s="21"/>
      <c r="I315" s="21">
        <v>198.0</v>
      </c>
      <c r="J315" s="22">
        <v>66.0</v>
      </c>
      <c r="K315" s="50"/>
      <c r="L315" s="21" t="str">
        <f>IF(K315&gt;0,K315*I315,"")</f>
      </c>
      <c r="M315" s="52"/>
      <c r="N315" t="str">
        <f>IF(K315&gt;0,COUNTIF($K$7:K315,"&gt;0"),"")</f>
      </c>
      <c r="O315" t="s">
        <v>841</v>
      </c>
      <c r="P315" t="s">
        <v>839</v>
      </c>
      <c r="Q315" t="s">
        <v>839</v>
      </c>
    </row>
    <row r="316" spans="1:18" customHeight="1" ht="58">
      <c r="A316" s="16"/>
      <c r="B316" s="18" t="s">
        <v>827</v>
      </c>
      <c r="C316" s="17" t="s">
        <v>811</v>
      </c>
      <c r="D316" s="17" t="s">
        <v>234</v>
      </c>
      <c r="E316" s="17" t="s">
        <v>86</v>
      </c>
      <c r="F316" s="19"/>
      <c r="G316" s="20">
        <v>1.0</v>
      </c>
      <c r="H316" s="21"/>
      <c r="I316" s="21">
        <v>198.0</v>
      </c>
      <c r="J316" s="22">
        <v>44.0</v>
      </c>
      <c r="K316" s="50"/>
      <c r="L316" s="21" t="str">
        <f>IF(K316&gt;0,K316*I316,"")</f>
      </c>
      <c r="M316" s="52"/>
      <c r="N316" t="str">
        <f>IF(K316&gt;0,COUNTIF($K$7:K316,"&gt;0"),"")</f>
      </c>
      <c r="O316" t="s">
        <v>843</v>
      </c>
      <c r="P316" t="s">
        <v>842</v>
      </c>
      <c r="Q316" t="s">
        <v>842</v>
      </c>
    </row>
    <row r="317" spans="1:18" customHeight="1" ht="58">
      <c r="A317" s="16"/>
      <c r="B317" s="18" t="s">
        <v>827</v>
      </c>
      <c r="C317" s="17" t="s">
        <v>811</v>
      </c>
      <c r="D317" s="17" t="s">
        <v>93</v>
      </c>
      <c r="E317" s="17" t="s">
        <v>86</v>
      </c>
      <c r="F317" s="19"/>
      <c r="G317" s="20">
        <v>1.0</v>
      </c>
      <c r="H317" s="21"/>
      <c r="I317" s="21">
        <v>198.0</v>
      </c>
      <c r="J317" s="22">
        <v>44.0</v>
      </c>
      <c r="K317" s="50"/>
      <c r="L317" s="21" t="str">
        <f>IF(K317&gt;0,K317*I317,"")</f>
      </c>
      <c r="M317" s="52"/>
      <c r="N317" t="str">
        <f>IF(K317&gt;0,COUNTIF($K$7:K317,"&gt;0"),"")</f>
      </c>
      <c r="O317" t="s">
        <v>845</v>
      </c>
      <c r="P317" t="s">
        <v>844</v>
      </c>
      <c r="Q317" t="s">
        <v>844</v>
      </c>
    </row>
    <row r="318" spans="1:18" customHeight="1" ht="58">
      <c r="A318" s="16"/>
      <c r="B318" s="18" t="s">
        <v>827</v>
      </c>
      <c r="C318" s="17" t="s">
        <v>811</v>
      </c>
      <c r="D318" s="17" t="s">
        <v>691</v>
      </c>
      <c r="E318" s="17" t="s">
        <v>86</v>
      </c>
      <c r="F318" s="19"/>
      <c r="G318" s="20">
        <v>1.0</v>
      </c>
      <c r="H318" s="21"/>
      <c r="I318" s="21">
        <v>198.0</v>
      </c>
      <c r="J318" s="22">
        <v>22.0</v>
      </c>
      <c r="K318" s="50"/>
      <c r="L318" s="21" t="str">
        <f>IF(K318&gt;0,K318*I318,"")</f>
      </c>
      <c r="M318" s="52"/>
      <c r="N318" t="str">
        <f>IF(K318&gt;0,COUNTIF($K$7:K318,"&gt;0"),"")</f>
      </c>
      <c r="O318" t="s">
        <v>847</v>
      </c>
      <c r="P318" t="s">
        <v>846</v>
      </c>
      <c r="Q318" t="s">
        <v>846</v>
      </c>
    </row>
    <row r="319" spans="1:18" customHeight="1" ht="58">
      <c r="A319" s="16"/>
      <c r="B319" s="18" t="s">
        <v>827</v>
      </c>
      <c r="C319" s="17" t="s">
        <v>811</v>
      </c>
      <c r="D319" s="17" t="s">
        <v>849</v>
      </c>
      <c r="E319" s="17" t="s">
        <v>86</v>
      </c>
      <c r="F319" s="19"/>
      <c r="G319" s="20">
        <v>1.0</v>
      </c>
      <c r="H319" s="21"/>
      <c r="I319" s="21">
        <v>198.0</v>
      </c>
      <c r="J319" s="22">
        <v>34.0</v>
      </c>
      <c r="K319" s="50"/>
      <c r="L319" s="21" t="str">
        <f>IF(K319&gt;0,K319*I319,"")</f>
      </c>
      <c r="M319" s="52"/>
      <c r="N319" t="str">
        <f>IF(K319&gt;0,COUNTIF($K$7:K319,"&gt;0"),"")</f>
      </c>
      <c r="O319" t="s">
        <v>850</v>
      </c>
      <c r="P319" t="s">
        <v>848</v>
      </c>
      <c r="Q319" t="s">
        <v>848</v>
      </c>
    </row>
    <row r="320" spans="1:18" customHeight="1" ht="58">
      <c r="A320" s="16"/>
      <c r="B320" s="18" t="s">
        <v>827</v>
      </c>
      <c r="C320" s="17" t="s">
        <v>811</v>
      </c>
      <c r="D320" s="17" t="s">
        <v>228</v>
      </c>
      <c r="E320" s="17" t="s">
        <v>86</v>
      </c>
      <c r="F320" s="19"/>
      <c r="G320" s="20">
        <v>1.0</v>
      </c>
      <c r="H320" s="21"/>
      <c r="I320" s="21">
        <v>198.0</v>
      </c>
      <c r="J320" s="22">
        <v>24.0</v>
      </c>
      <c r="K320" s="50"/>
      <c r="L320" s="21" t="str">
        <f>IF(K320&gt;0,K320*I320,"")</f>
      </c>
      <c r="M320" s="52"/>
      <c r="N320" t="str">
        <f>IF(K320&gt;0,COUNTIF($K$7:K320,"&gt;0"),"")</f>
      </c>
      <c r="O320" t="s">
        <v>852</v>
      </c>
      <c r="P320" t="s">
        <v>851</v>
      </c>
      <c r="Q320" t="s">
        <v>851</v>
      </c>
    </row>
    <row r="321" spans="1:18" customHeight="1" ht="58">
      <c r="A321" s="16"/>
      <c r="B321" s="18" t="s">
        <v>854</v>
      </c>
      <c r="C321" s="17" t="s">
        <v>811</v>
      </c>
      <c r="D321" s="17" t="s">
        <v>336</v>
      </c>
      <c r="E321" s="17" t="s">
        <v>535</v>
      </c>
      <c r="F321" s="19"/>
      <c r="G321" s="20">
        <v>1.0</v>
      </c>
      <c r="H321" s="21"/>
      <c r="I321" s="21">
        <v>204.0</v>
      </c>
      <c r="J321" s="22">
        <v>24.0</v>
      </c>
      <c r="K321" s="50"/>
      <c r="L321" s="21" t="str">
        <f>IF(K321&gt;0,K321*I321,"")</f>
      </c>
      <c r="M321" s="52"/>
      <c r="N321" t="str">
        <f>IF(K321&gt;0,COUNTIF($K$7:K321,"&gt;0"),"")</f>
      </c>
      <c r="O321" t="s">
        <v>855</v>
      </c>
      <c r="P321" t="s">
        <v>853</v>
      </c>
      <c r="Q321" t="s">
        <v>853</v>
      </c>
    </row>
    <row r="322" spans="1:18" customHeight="1" ht="58">
      <c r="A322" s="16"/>
      <c r="B322" s="18" t="s">
        <v>854</v>
      </c>
      <c r="C322" s="17" t="s">
        <v>811</v>
      </c>
      <c r="D322" s="17" t="s">
        <v>857</v>
      </c>
      <c r="E322" s="17" t="s">
        <v>535</v>
      </c>
      <c r="F322" s="19"/>
      <c r="G322" s="20">
        <v>1.0</v>
      </c>
      <c r="H322" s="21"/>
      <c r="I322" s="21">
        <v>204.0</v>
      </c>
      <c r="J322" s="22">
        <v>24.0</v>
      </c>
      <c r="K322" s="50"/>
      <c r="L322" s="21" t="str">
        <f>IF(K322&gt;0,K322*I322,"")</f>
      </c>
      <c r="M322" s="52"/>
      <c r="N322" t="str">
        <f>IF(K322&gt;0,COUNTIF($K$7:K322,"&gt;0"),"")</f>
      </c>
      <c r="O322" t="s">
        <v>858</v>
      </c>
      <c r="P322" t="s">
        <v>856</v>
      </c>
      <c r="Q322" t="s">
        <v>856</v>
      </c>
    </row>
    <row r="323" spans="1:18" customHeight="1" ht="58">
      <c r="A323" s="16"/>
      <c r="B323" s="18" t="s">
        <v>854</v>
      </c>
      <c r="C323" s="17" t="s">
        <v>811</v>
      </c>
      <c r="D323" s="17" t="s">
        <v>93</v>
      </c>
      <c r="E323" s="17" t="s">
        <v>535</v>
      </c>
      <c r="F323" s="19"/>
      <c r="G323" s="20">
        <v>1.0</v>
      </c>
      <c r="H323" s="21"/>
      <c r="I323" s="21">
        <v>204.0</v>
      </c>
      <c r="J323" s="22">
        <v>24.0</v>
      </c>
      <c r="K323" s="50"/>
      <c r="L323" s="21" t="str">
        <f>IF(K323&gt;0,K323*I323,"")</f>
      </c>
      <c r="M323" s="52"/>
      <c r="N323" t="str">
        <f>IF(K323&gt;0,COUNTIF($K$7:K323,"&gt;0"),"")</f>
      </c>
      <c r="O323" t="s">
        <v>860</v>
      </c>
      <c r="P323" t="s">
        <v>859</v>
      </c>
      <c r="Q323" t="s">
        <v>859</v>
      </c>
    </row>
    <row r="324" spans="1:18" customHeight="1" ht="58">
      <c r="A324" s="16"/>
      <c r="B324" s="18" t="s">
        <v>854</v>
      </c>
      <c r="C324" s="17" t="s">
        <v>811</v>
      </c>
      <c r="D324" s="17" t="s">
        <v>691</v>
      </c>
      <c r="E324" s="17" t="s">
        <v>535</v>
      </c>
      <c r="F324" s="19"/>
      <c r="G324" s="20">
        <v>1.0</v>
      </c>
      <c r="H324" s="21"/>
      <c r="I324" s="21">
        <v>204.0</v>
      </c>
      <c r="J324" s="22">
        <v>12.0</v>
      </c>
      <c r="K324" s="50"/>
      <c r="L324" s="21" t="str">
        <f>IF(K324&gt;0,K324*I324,"")</f>
      </c>
      <c r="M324" s="52"/>
      <c r="N324" t="str">
        <f>IF(K324&gt;0,COUNTIF($K$7:K324,"&gt;0"),"")</f>
      </c>
      <c r="O324" t="s">
        <v>862</v>
      </c>
      <c r="P324" t="s">
        <v>861</v>
      </c>
      <c r="Q324" t="s">
        <v>861</v>
      </c>
    </row>
    <row r="325" spans="1:18" customHeight="1" ht="58">
      <c r="A325" s="16"/>
      <c r="B325" s="18" t="s">
        <v>854</v>
      </c>
      <c r="C325" s="17" t="s">
        <v>811</v>
      </c>
      <c r="D325" s="17" t="s">
        <v>840</v>
      </c>
      <c r="E325" s="17" t="s">
        <v>535</v>
      </c>
      <c r="F325" s="19"/>
      <c r="G325" s="20">
        <v>1.0</v>
      </c>
      <c r="H325" s="21"/>
      <c r="I325" s="21">
        <v>204.0</v>
      </c>
      <c r="J325" s="22">
        <v>36.0</v>
      </c>
      <c r="K325" s="50"/>
      <c r="L325" s="21" t="str">
        <f>IF(K325&gt;0,K325*I325,"")</f>
      </c>
      <c r="M325" s="52"/>
      <c r="N325" t="str">
        <f>IF(K325&gt;0,COUNTIF($K$7:K325,"&gt;0"),"")</f>
      </c>
      <c r="O325" t="s">
        <v>864</v>
      </c>
      <c r="P325" t="s">
        <v>863</v>
      </c>
      <c r="Q325" t="s">
        <v>863</v>
      </c>
    </row>
    <row r="326" spans="1:18" customHeight="1" ht="58">
      <c r="A326" s="16"/>
      <c r="B326" s="18" t="s">
        <v>854</v>
      </c>
      <c r="C326" s="17" t="s">
        <v>811</v>
      </c>
      <c r="D326" s="17" t="s">
        <v>234</v>
      </c>
      <c r="E326" s="17" t="s">
        <v>535</v>
      </c>
      <c r="F326" s="19"/>
      <c r="G326" s="20">
        <v>1.0</v>
      </c>
      <c r="H326" s="21"/>
      <c r="I326" s="21">
        <v>204.0</v>
      </c>
      <c r="J326" s="22">
        <v>24.0</v>
      </c>
      <c r="K326" s="50"/>
      <c r="L326" s="21" t="str">
        <f>IF(K326&gt;0,K326*I326,"")</f>
      </c>
      <c r="M326" s="52"/>
      <c r="N326" t="str">
        <f>IF(K326&gt;0,COUNTIF($K$7:K326,"&gt;0"),"")</f>
      </c>
      <c r="O326" t="s">
        <v>866</v>
      </c>
      <c r="P326" t="s">
        <v>865</v>
      </c>
      <c r="Q326" t="s">
        <v>865</v>
      </c>
    </row>
    <row r="327" spans="1:18" customHeight="1" ht="58">
      <c r="A327" s="16"/>
      <c r="B327" s="18" t="s">
        <v>868</v>
      </c>
      <c r="C327" s="17" t="s">
        <v>811</v>
      </c>
      <c r="D327" s="17" t="s">
        <v>234</v>
      </c>
      <c r="E327" s="17" t="s">
        <v>544</v>
      </c>
      <c r="F327" s="19"/>
      <c r="G327" s="20">
        <v>1.0</v>
      </c>
      <c r="H327" s="21"/>
      <c r="I327" s="21">
        <v>297.0</v>
      </c>
      <c r="J327" s="22">
        <v>39.0</v>
      </c>
      <c r="K327" s="50"/>
      <c r="L327" s="21" t="str">
        <f>IF(K327&gt;0,K327*I327,"")</f>
      </c>
      <c r="M327" s="52"/>
      <c r="N327" t="str">
        <f>IF(K327&gt;0,COUNTIF($K$7:K327,"&gt;0"),"")</f>
      </c>
      <c r="O327" t="s">
        <v>869</v>
      </c>
      <c r="P327" t="s">
        <v>867</v>
      </c>
      <c r="Q327" t="s">
        <v>867</v>
      </c>
    </row>
    <row r="328" spans="1:18" customHeight="1" ht="58">
      <c r="A328" s="16"/>
      <c r="B328" s="18" t="s">
        <v>868</v>
      </c>
      <c r="C328" s="17" t="s">
        <v>811</v>
      </c>
      <c r="D328" s="17" t="s">
        <v>336</v>
      </c>
      <c r="E328" s="17" t="s">
        <v>544</v>
      </c>
      <c r="F328" s="19"/>
      <c r="G328" s="20">
        <v>1.0</v>
      </c>
      <c r="H328" s="21"/>
      <c r="I328" s="21">
        <v>297.0</v>
      </c>
      <c r="J328" s="22">
        <v>39.0</v>
      </c>
      <c r="K328" s="50"/>
      <c r="L328" s="21" t="str">
        <f>IF(K328&gt;0,K328*I328,"")</f>
      </c>
      <c r="M328" s="52"/>
      <c r="N328" t="str">
        <f>IF(K328&gt;0,COUNTIF($K$7:K328,"&gt;0"),"")</f>
      </c>
      <c r="O328" t="s">
        <v>871</v>
      </c>
      <c r="P328" t="s">
        <v>870</v>
      </c>
      <c r="Q328" t="s">
        <v>870</v>
      </c>
    </row>
    <row r="329" spans="1:18" customHeight="1" ht="58">
      <c r="A329" s="16"/>
      <c r="B329" s="18" t="s">
        <v>868</v>
      </c>
      <c r="C329" s="17" t="s">
        <v>811</v>
      </c>
      <c r="D329" s="17" t="s">
        <v>302</v>
      </c>
      <c r="E329" s="17" t="s">
        <v>544</v>
      </c>
      <c r="F329" s="19"/>
      <c r="G329" s="20">
        <v>1.0</v>
      </c>
      <c r="H329" s="21"/>
      <c r="I329" s="21">
        <v>297.0</v>
      </c>
      <c r="J329" s="22">
        <v>32.0</v>
      </c>
      <c r="K329" s="50"/>
      <c r="L329" s="21" t="str">
        <f>IF(K329&gt;0,K329*I329,"")</f>
      </c>
      <c r="M329" s="52"/>
      <c r="N329" t="str">
        <f>IF(K329&gt;0,COUNTIF($K$7:K329,"&gt;0"),"")</f>
      </c>
      <c r="O329" t="s">
        <v>873</v>
      </c>
      <c r="P329" t="s">
        <v>872</v>
      </c>
      <c r="Q329" t="s">
        <v>872</v>
      </c>
    </row>
    <row r="330" spans="1:18" customHeight="1" ht="58">
      <c r="A330" s="16"/>
      <c r="B330" s="18" t="s">
        <v>868</v>
      </c>
      <c r="C330" s="17" t="s">
        <v>811</v>
      </c>
      <c r="D330" s="17" t="s">
        <v>840</v>
      </c>
      <c r="E330" s="17" t="s">
        <v>544</v>
      </c>
      <c r="F330" s="19"/>
      <c r="G330" s="20">
        <v>1.0</v>
      </c>
      <c r="H330" s="21"/>
      <c r="I330" s="21">
        <v>297.0</v>
      </c>
      <c r="J330" s="22">
        <v>49.0</v>
      </c>
      <c r="K330" s="50"/>
      <c r="L330" s="21" t="str">
        <f>IF(K330&gt;0,K330*I330,"")</f>
      </c>
      <c r="M330" s="52"/>
      <c r="N330" t="str">
        <f>IF(K330&gt;0,COUNTIF($K$7:K330,"&gt;0"),"")</f>
      </c>
      <c r="O330" t="s">
        <v>875</v>
      </c>
      <c r="P330" t="s">
        <v>874</v>
      </c>
      <c r="Q330" t="s">
        <v>874</v>
      </c>
    </row>
    <row r="331" spans="1:18" customHeight="1" ht="58">
      <c r="A331" s="16"/>
      <c r="B331" s="18" t="s">
        <v>868</v>
      </c>
      <c r="C331" s="17" t="s">
        <v>811</v>
      </c>
      <c r="D331" s="17" t="s">
        <v>691</v>
      </c>
      <c r="E331" s="17" t="s">
        <v>544</v>
      </c>
      <c r="F331" s="19"/>
      <c r="G331" s="20">
        <v>1.0</v>
      </c>
      <c r="H331" s="21"/>
      <c r="I331" s="21">
        <v>297.0</v>
      </c>
      <c r="J331" s="22">
        <v>27.0</v>
      </c>
      <c r="K331" s="50"/>
      <c r="L331" s="21" t="str">
        <f>IF(K331&gt;0,K331*I331,"")</f>
      </c>
      <c r="M331" s="52"/>
      <c r="N331" t="str">
        <f>IF(K331&gt;0,COUNTIF($K$7:K331,"&gt;0"),"")</f>
      </c>
      <c r="O331" t="s">
        <v>877</v>
      </c>
      <c r="P331" t="s">
        <v>876</v>
      </c>
      <c r="Q331" t="s">
        <v>876</v>
      </c>
    </row>
    <row r="332" spans="1:18" customHeight="1" ht="58">
      <c r="A332" s="16"/>
      <c r="B332" s="18" t="s">
        <v>868</v>
      </c>
      <c r="C332" s="17" t="s">
        <v>811</v>
      </c>
      <c r="D332" s="17" t="s">
        <v>93</v>
      </c>
      <c r="E332" s="17" t="s">
        <v>544</v>
      </c>
      <c r="F332" s="19"/>
      <c r="G332" s="20">
        <v>1.0</v>
      </c>
      <c r="H332" s="21"/>
      <c r="I332" s="21">
        <v>297.0</v>
      </c>
      <c r="J332" s="22">
        <v>33.0</v>
      </c>
      <c r="K332" s="50"/>
      <c r="L332" s="21" t="str">
        <f>IF(K332&gt;0,K332*I332,"")</f>
      </c>
      <c r="M332" s="52"/>
      <c r="N332" t="str">
        <f>IF(K332&gt;0,COUNTIF($K$7:K332,"&gt;0"),"")</f>
      </c>
      <c r="O332" t="s">
        <v>879</v>
      </c>
      <c r="P332" t="s">
        <v>878</v>
      </c>
      <c r="Q332" t="s">
        <v>878</v>
      </c>
    </row>
    <row r="333" spans="1:18" customHeight="1" ht="58">
      <c r="A333" s="16"/>
      <c r="B333" s="18" t="s">
        <v>881</v>
      </c>
      <c r="C333" s="17" t="s">
        <v>811</v>
      </c>
      <c r="D333" s="17" t="s">
        <v>691</v>
      </c>
      <c r="E333" s="17" t="s">
        <v>120</v>
      </c>
      <c r="F333" s="19"/>
      <c r="G333" s="20">
        <v>1.0</v>
      </c>
      <c r="H333" s="21"/>
      <c r="I333" s="21">
        <v>385.0</v>
      </c>
      <c r="J333" s="22">
        <v>16.0</v>
      </c>
      <c r="K333" s="50"/>
      <c r="L333" s="21" t="str">
        <f>IF(K333&gt;0,K333*I333,"")</f>
      </c>
      <c r="M333" s="52"/>
      <c r="N333" t="str">
        <f>IF(K333&gt;0,COUNTIF($K$7:K333,"&gt;0"),"")</f>
      </c>
      <c r="O333" t="s">
        <v>882</v>
      </c>
      <c r="P333" t="s">
        <v>880</v>
      </c>
      <c r="Q333" t="s">
        <v>880</v>
      </c>
    </row>
    <row r="334" spans="1:18" customHeight="1" ht="58">
      <c r="A334" s="16"/>
      <c r="B334" s="18" t="s">
        <v>881</v>
      </c>
      <c r="C334" s="17" t="s">
        <v>811</v>
      </c>
      <c r="D334" s="17" t="s">
        <v>302</v>
      </c>
      <c r="E334" s="17" t="s">
        <v>120</v>
      </c>
      <c r="F334" s="19"/>
      <c r="G334" s="20">
        <v>1.0</v>
      </c>
      <c r="H334" s="21"/>
      <c r="I334" s="21">
        <v>385.0</v>
      </c>
      <c r="J334" s="22">
        <v>14.0</v>
      </c>
      <c r="K334" s="50"/>
      <c r="L334" s="21" t="str">
        <f>IF(K334&gt;0,K334*I334,"")</f>
      </c>
      <c r="M334" s="52"/>
      <c r="N334" t="str">
        <f>IF(K334&gt;0,COUNTIF($K$7:K334,"&gt;0"),"")</f>
      </c>
      <c r="O334" t="s">
        <v>884</v>
      </c>
      <c r="P334" t="s">
        <v>883</v>
      </c>
      <c r="Q334" t="s">
        <v>883</v>
      </c>
    </row>
    <row r="335" spans="1:18" customHeight="1" ht="58">
      <c r="A335" s="16"/>
      <c r="B335" s="18" t="s">
        <v>881</v>
      </c>
      <c r="C335" s="17" t="s">
        <v>811</v>
      </c>
      <c r="D335" s="17" t="s">
        <v>886</v>
      </c>
      <c r="E335" s="17" t="s">
        <v>120</v>
      </c>
      <c r="F335" s="19"/>
      <c r="G335" s="20">
        <v>1.0</v>
      </c>
      <c r="H335" s="21"/>
      <c r="I335" s="21">
        <v>385.0</v>
      </c>
      <c r="J335" s="22">
        <v>6.0</v>
      </c>
      <c r="K335" s="50"/>
      <c r="L335" s="21" t="str">
        <f>IF(K335&gt;0,K335*I335,"")</f>
      </c>
      <c r="M335" s="52"/>
      <c r="N335" t="str">
        <f>IF(K335&gt;0,COUNTIF($K$7:K335,"&gt;0"),"")</f>
      </c>
      <c r="O335" t="s">
        <v>887</v>
      </c>
      <c r="P335" t="s">
        <v>885</v>
      </c>
      <c r="Q335" t="s">
        <v>885</v>
      </c>
    </row>
    <row r="336" spans="1:18" customHeight="1" ht="58">
      <c r="A336" s="16"/>
      <c r="B336" s="18" t="s">
        <v>881</v>
      </c>
      <c r="C336" s="17" t="s">
        <v>811</v>
      </c>
      <c r="D336" s="17" t="s">
        <v>85</v>
      </c>
      <c r="E336" s="17" t="s">
        <v>120</v>
      </c>
      <c r="F336" s="19"/>
      <c r="G336" s="20">
        <v>1.0</v>
      </c>
      <c r="H336" s="21"/>
      <c r="I336" s="21">
        <v>385.0</v>
      </c>
      <c r="J336" s="22">
        <v>21.0</v>
      </c>
      <c r="K336" s="50"/>
      <c r="L336" s="21" t="str">
        <f>IF(K336&gt;0,K336*I336,"")</f>
      </c>
      <c r="M336" s="52"/>
      <c r="N336" t="str">
        <f>IF(K336&gt;0,COUNTIF($K$7:K336,"&gt;0"),"")</f>
      </c>
      <c r="O336" t="s">
        <v>889</v>
      </c>
      <c r="P336" t="s">
        <v>888</v>
      </c>
      <c r="Q336" t="s">
        <v>888</v>
      </c>
    </row>
    <row r="337" spans="1:18" customHeight="1" ht="58">
      <c r="A337" s="16"/>
      <c r="B337" s="18" t="s">
        <v>881</v>
      </c>
      <c r="C337" s="17" t="s">
        <v>811</v>
      </c>
      <c r="D337" s="17" t="s">
        <v>336</v>
      </c>
      <c r="E337" s="17" t="s">
        <v>120</v>
      </c>
      <c r="F337" s="19"/>
      <c r="G337" s="20">
        <v>1.0</v>
      </c>
      <c r="H337" s="21"/>
      <c r="I337" s="21">
        <v>385.0</v>
      </c>
      <c r="J337" s="22">
        <v>16.0</v>
      </c>
      <c r="K337" s="50"/>
      <c r="L337" s="21" t="str">
        <f>IF(K337&gt;0,K337*I337,"")</f>
      </c>
      <c r="M337" s="52"/>
      <c r="N337" t="str">
        <f>IF(K337&gt;0,COUNTIF($K$7:K337,"&gt;0"),"")</f>
      </c>
      <c r="O337" t="s">
        <v>891</v>
      </c>
      <c r="P337" t="s">
        <v>890</v>
      </c>
      <c r="Q337" t="s">
        <v>890</v>
      </c>
    </row>
    <row r="338" spans="1:18" customHeight="1" ht="58">
      <c r="A338" s="16"/>
      <c r="B338" s="18" t="s">
        <v>881</v>
      </c>
      <c r="C338" s="17" t="s">
        <v>811</v>
      </c>
      <c r="D338" s="17" t="s">
        <v>893</v>
      </c>
      <c r="E338" s="17" t="s">
        <v>120</v>
      </c>
      <c r="F338" s="19"/>
      <c r="G338" s="20">
        <v>1.0</v>
      </c>
      <c r="H338" s="21"/>
      <c r="I338" s="21">
        <v>385.0</v>
      </c>
      <c r="J338" s="22">
        <v>3.0</v>
      </c>
      <c r="K338" s="50"/>
      <c r="L338" s="21" t="str">
        <f>IF(K338&gt;0,K338*I338,"")</f>
      </c>
      <c r="M338" s="52"/>
      <c r="N338" t="str">
        <f>IF(K338&gt;0,COUNTIF($K$7:K338,"&gt;0"),"")</f>
      </c>
      <c r="O338" t="s">
        <v>894</v>
      </c>
      <c r="P338" t="s">
        <v>892</v>
      </c>
      <c r="Q338" t="s">
        <v>892</v>
      </c>
    </row>
    <row r="339" spans="1:18" customHeight="1" ht="58">
      <c r="A339" s="16"/>
      <c r="B339" s="18" t="s">
        <v>881</v>
      </c>
      <c r="C339" s="17" t="s">
        <v>811</v>
      </c>
      <c r="D339" s="17" t="s">
        <v>93</v>
      </c>
      <c r="E339" s="17" t="s">
        <v>120</v>
      </c>
      <c r="F339" s="19"/>
      <c r="G339" s="20">
        <v>1.0</v>
      </c>
      <c r="H339" s="21"/>
      <c r="I339" s="21">
        <v>385.0</v>
      </c>
      <c r="J339" s="22">
        <v>16.0</v>
      </c>
      <c r="K339" s="50"/>
      <c r="L339" s="21" t="str">
        <f>IF(K339&gt;0,K339*I339,"")</f>
      </c>
      <c r="M339" s="52"/>
      <c r="N339" t="str">
        <f>IF(K339&gt;0,COUNTIF($K$7:K339,"&gt;0"),"")</f>
      </c>
      <c r="O339" t="s">
        <v>896</v>
      </c>
      <c r="P339" t="s">
        <v>895</v>
      </c>
      <c r="Q339" t="s">
        <v>895</v>
      </c>
    </row>
    <row r="340" spans="1:18" customHeight="1" ht="58">
      <c r="A340" s="16"/>
      <c r="B340" s="18" t="s">
        <v>898</v>
      </c>
      <c r="C340" s="17" t="s">
        <v>811</v>
      </c>
      <c r="D340" s="17" t="s">
        <v>893</v>
      </c>
      <c r="E340" s="17" t="s">
        <v>899</v>
      </c>
      <c r="F340" s="19"/>
      <c r="G340" s="20">
        <v>1.0</v>
      </c>
      <c r="H340" s="21"/>
      <c r="I340" s="21">
        <v>649.0</v>
      </c>
      <c r="J340" s="22">
        <v>9.0</v>
      </c>
      <c r="K340" s="50"/>
      <c r="L340" s="21" t="str">
        <f>IF(K340&gt;0,K340*I340,"")</f>
      </c>
      <c r="M340" s="52"/>
      <c r="N340" t="str">
        <f>IF(K340&gt;0,COUNTIF($K$7:K340,"&gt;0"),"")</f>
      </c>
      <c r="O340" t="s">
        <v>900</v>
      </c>
      <c r="P340" t="s">
        <v>897</v>
      </c>
      <c r="Q340" t="s">
        <v>897</v>
      </c>
    </row>
    <row r="341" spans="1:18" customHeight="1" ht="58">
      <c r="A341" s="16"/>
      <c r="B341" s="18" t="s">
        <v>898</v>
      </c>
      <c r="C341" s="17" t="s">
        <v>811</v>
      </c>
      <c r="D341" s="17" t="s">
        <v>302</v>
      </c>
      <c r="E341" s="17" t="s">
        <v>899</v>
      </c>
      <c r="F341" s="19"/>
      <c r="G341" s="20">
        <v>1.0</v>
      </c>
      <c r="H341" s="21"/>
      <c r="I341" s="21">
        <v>649.0</v>
      </c>
      <c r="J341" s="22">
        <v>10.0</v>
      </c>
      <c r="K341" s="50"/>
      <c r="L341" s="21" t="str">
        <f>IF(K341&gt;0,K341*I341,"")</f>
      </c>
      <c r="M341" s="52"/>
      <c r="N341" t="str">
        <f>IF(K341&gt;0,COUNTIF($K$7:K341,"&gt;0"),"")</f>
      </c>
      <c r="O341" t="s">
        <v>902</v>
      </c>
      <c r="P341" t="s">
        <v>901</v>
      </c>
      <c r="Q341" t="s">
        <v>901</v>
      </c>
    </row>
    <row r="342" spans="1:18" customHeight="1" ht="58">
      <c r="A342" s="16"/>
      <c r="B342" s="18" t="s">
        <v>898</v>
      </c>
      <c r="C342" s="17" t="s">
        <v>811</v>
      </c>
      <c r="D342" s="17" t="s">
        <v>85</v>
      </c>
      <c r="E342" s="17" t="s">
        <v>899</v>
      </c>
      <c r="F342" s="19"/>
      <c r="G342" s="20">
        <v>1.0</v>
      </c>
      <c r="H342" s="21"/>
      <c r="I342" s="21">
        <v>649.0</v>
      </c>
      <c r="J342" s="22">
        <v>5.0</v>
      </c>
      <c r="K342" s="50"/>
      <c r="L342" s="21" t="str">
        <f>IF(K342&gt;0,K342*I342,"")</f>
      </c>
      <c r="M342" s="52"/>
      <c r="N342" t="str">
        <f>IF(K342&gt;0,COUNTIF($K$7:K342,"&gt;0"),"")</f>
      </c>
      <c r="O342" t="s">
        <v>904</v>
      </c>
      <c r="P342" t="s">
        <v>903</v>
      </c>
      <c r="Q342" t="s">
        <v>903</v>
      </c>
    </row>
    <row r="343" spans="1:18" customHeight="1" ht="58">
      <c r="A343" s="16"/>
      <c r="B343" s="18" t="s">
        <v>898</v>
      </c>
      <c r="C343" s="17" t="s">
        <v>811</v>
      </c>
      <c r="D343" s="17" t="s">
        <v>93</v>
      </c>
      <c r="E343" s="17" t="s">
        <v>899</v>
      </c>
      <c r="F343" s="19"/>
      <c r="G343" s="20">
        <v>1.0</v>
      </c>
      <c r="H343" s="21"/>
      <c r="I343" s="21">
        <v>649.0</v>
      </c>
      <c r="J343" s="22">
        <v>4.0</v>
      </c>
      <c r="K343" s="50"/>
      <c r="L343" s="21" t="str">
        <f>IF(K343&gt;0,K343*I343,"")</f>
      </c>
      <c r="M343" s="52"/>
      <c r="N343" t="str">
        <f>IF(K343&gt;0,COUNTIF($K$7:K343,"&gt;0"),"")</f>
      </c>
      <c r="O343" t="s">
        <v>906</v>
      </c>
      <c r="P343" t="s">
        <v>905</v>
      </c>
      <c r="Q343" t="s">
        <v>905</v>
      </c>
    </row>
    <row r="344" spans="1:18" customHeight="1" ht="58">
      <c r="A344" s="16"/>
      <c r="B344" s="18" t="s">
        <v>908</v>
      </c>
      <c r="C344" s="17" t="s">
        <v>811</v>
      </c>
      <c r="D344" s="17" t="s">
        <v>336</v>
      </c>
      <c r="E344" s="17" t="s">
        <v>909</v>
      </c>
      <c r="F344" s="19"/>
      <c r="G344" s="20">
        <v>1.0</v>
      </c>
      <c r="H344" s="21"/>
      <c r="I344" s="21">
        <v>1028.0</v>
      </c>
      <c r="J344" s="22">
        <v>6.0</v>
      </c>
      <c r="K344" s="50"/>
      <c r="L344" s="21" t="str">
        <f>IF(K344&gt;0,K344*I344,"")</f>
      </c>
      <c r="M344" s="52"/>
      <c r="N344" t="str">
        <f>IF(K344&gt;0,COUNTIF($K$7:K344,"&gt;0"),"")</f>
      </c>
      <c r="O344" t="s">
        <v>910</v>
      </c>
      <c r="P344" t="s">
        <v>907</v>
      </c>
      <c r="Q344" t="s">
        <v>907</v>
      </c>
    </row>
    <row r="345" spans="1:18" customHeight="1" ht="58">
      <c r="A345" s="16"/>
      <c r="B345" s="18" t="s">
        <v>908</v>
      </c>
      <c r="C345" s="17" t="s">
        <v>811</v>
      </c>
      <c r="D345" s="17" t="s">
        <v>85</v>
      </c>
      <c r="E345" s="17" t="s">
        <v>909</v>
      </c>
      <c r="F345" s="19"/>
      <c r="G345" s="20">
        <v>1.0</v>
      </c>
      <c r="H345" s="21"/>
      <c r="I345" s="21">
        <v>1028.0</v>
      </c>
      <c r="J345" s="22">
        <v>8.0</v>
      </c>
      <c r="K345" s="50"/>
      <c r="L345" s="21" t="str">
        <f>IF(K345&gt;0,K345*I345,"")</f>
      </c>
      <c r="M345" s="52"/>
      <c r="N345" t="str">
        <f>IF(K345&gt;0,COUNTIF($K$7:K345,"&gt;0"),"")</f>
      </c>
      <c r="O345" t="s">
        <v>912</v>
      </c>
      <c r="P345" t="s">
        <v>911</v>
      </c>
      <c r="Q345" t="s">
        <v>911</v>
      </c>
    </row>
    <row r="346" spans="1:18" customHeight="1" ht="58">
      <c r="A346" s="16"/>
      <c r="B346" s="18" t="s">
        <v>908</v>
      </c>
      <c r="C346" s="17" t="s">
        <v>811</v>
      </c>
      <c r="D346" s="17" t="s">
        <v>93</v>
      </c>
      <c r="E346" s="17" t="s">
        <v>909</v>
      </c>
      <c r="F346" s="19"/>
      <c r="G346" s="20">
        <v>1.0</v>
      </c>
      <c r="H346" s="21"/>
      <c r="I346" s="21">
        <v>1028.0</v>
      </c>
      <c r="J346" s="22">
        <v>6.0</v>
      </c>
      <c r="K346" s="50"/>
      <c r="L346" s="21" t="str">
        <f>IF(K346&gt;0,K346*I346,"")</f>
      </c>
      <c r="M346" s="52"/>
      <c r="N346" t="str">
        <f>IF(K346&gt;0,COUNTIF($K$7:K346,"&gt;0"),"")</f>
      </c>
      <c r="O346" t="s">
        <v>914</v>
      </c>
      <c r="P346" t="s">
        <v>913</v>
      </c>
      <c r="Q346" t="s">
        <v>913</v>
      </c>
    </row>
    <row r="347" spans="1:18" customHeight="1" ht="58">
      <c r="A347" s="16"/>
      <c r="B347" s="18" t="s">
        <v>908</v>
      </c>
      <c r="C347" s="17" t="s">
        <v>811</v>
      </c>
      <c r="D347" s="17" t="s">
        <v>302</v>
      </c>
      <c r="E347" s="17" t="s">
        <v>909</v>
      </c>
      <c r="F347" s="19"/>
      <c r="G347" s="20">
        <v>1.0</v>
      </c>
      <c r="H347" s="21"/>
      <c r="I347" s="21">
        <v>1061.0</v>
      </c>
      <c r="J347" s="22">
        <v>6.0</v>
      </c>
      <c r="K347" s="50"/>
      <c r="L347" s="21" t="str">
        <f>IF(K347&gt;0,K347*I347,"")</f>
      </c>
      <c r="M347" s="52"/>
      <c r="N347" t="str">
        <f>IF(K347&gt;0,COUNTIF($K$7:K347,"&gt;0"),"")</f>
      </c>
      <c r="O347" t="s">
        <v>916</v>
      </c>
      <c r="P347" t="s">
        <v>915</v>
      </c>
      <c r="Q347" t="s">
        <v>915</v>
      </c>
    </row>
    <row r="348" spans="1:18" customHeight="1" ht="58">
      <c r="A348" s="16"/>
      <c r="B348" s="18" t="s">
        <v>908</v>
      </c>
      <c r="C348" s="17" t="s">
        <v>811</v>
      </c>
      <c r="D348" s="17" t="s">
        <v>40</v>
      </c>
      <c r="E348" s="17" t="s">
        <v>909</v>
      </c>
      <c r="F348" s="19"/>
      <c r="G348" s="20">
        <v>1.0</v>
      </c>
      <c r="H348" s="21"/>
      <c r="I348" s="21">
        <v>1061.0</v>
      </c>
      <c r="J348" s="22">
        <v>9.0</v>
      </c>
      <c r="K348" s="50"/>
      <c r="L348" s="21" t="str">
        <f>IF(K348&gt;0,K348*I348,"")</f>
      </c>
      <c r="M348" s="52"/>
      <c r="N348" t="str">
        <f>IF(K348&gt;0,COUNTIF($K$7:K348,"&gt;0"),"")</f>
      </c>
      <c r="O348" t="s">
        <v>918</v>
      </c>
      <c r="P348" t="s">
        <v>917</v>
      </c>
      <c r="Q348" t="s">
        <v>917</v>
      </c>
    </row>
    <row r="349" spans="1:18" customHeight="1" ht="58">
      <c r="A349" s="16"/>
      <c r="B349" s="18" t="s">
        <v>920</v>
      </c>
      <c r="C349" s="17" t="s">
        <v>921</v>
      </c>
      <c r="D349" s="17" t="s">
        <v>93</v>
      </c>
      <c r="E349" s="17" t="s">
        <v>922</v>
      </c>
      <c r="F349" s="19"/>
      <c r="G349" s="20">
        <v>1.0</v>
      </c>
      <c r="H349" s="21"/>
      <c r="I349" s="21">
        <v>330.0</v>
      </c>
      <c r="J349" s="22">
        <v>30.0</v>
      </c>
      <c r="K349" s="50"/>
      <c r="L349" s="21" t="str">
        <f>IF(K349&gt;0,K349*I349,"")</f>
      </c>
      <c r="M349" s="52"/>
      <c r="N349" t="str">
        <f>IF(K349&gt;0,COUNTIF($K$7:K349,"&gt;0"),"")</f>
      </c>
      <c r="O349" t="s">
        <v>923</v>
      </c>
      <c r="P349" t="s">
        <v>919</v>
      </c>
      <c r="Q349" t="s">
        <v>919</v>
      </c>
    </row>
    <row r="350" spans="1:18" customHeight="1" ht="58">
      <c r="A350" s="16"/>
      <c r="B350" s="18" t="s">
        <v>920</v>
      </c>
      <c r="C350" s="17" t="s">
        <v>921</v>
      </c>
      <c r="D350" s="17" t="s">
        <v>205</v>
      </c>
      <c r="E350" s="17" t="s">
        <v>922</v>
      </c>
      <c r="F350" s="19"/>
      <c r="G350" s="20">
        <v>1.0</v>
      </c>
      <c r="H350" s="21"/>
      <c r="I350" s="21">
        <v>330.0</v>
      </c>
      <c r="J350" s="22">
        <v>27.0</v>
      </c>
      <c r="K350" s="50"/>
      <c r="L350" s="21" t="str">
        <f>IF(K350&gt;0,K350*I350,"")</f>
      </c>
      <c r="M350" s="52"/>
      <c r="N350" t="str">
        <f>IF(K350&gt;0,COUNTIF($K$7:K350,"&gt;0"),"")</f>
      </c>
      <c r="O350" t="s">
        <v>925</v>
      </c>
      <c r="P350" t="s">
        <v>924</v>
      </c>
      <c r="Q350" t="s">
        <v>924</v>
      </c>
    </row>
    <row r="351" spans="1:18" customHeight="1" ht="58">
      <c r="A351" s="16"/>
      <c r="B351" s="18" t="s">
        <v>920</v>
      </c>
      <c r="C351" s="17" t="s">
        <v>921</v>
      </c>
      <c r="D351" s="17" t="s">
        <v>89</v>
      </c>
      <c r="E351" s="17" t="s">
        <v>922</v>
      </c>
      <c r="F351" s="19"/>
      <c r="G351" s="20">
        <v>1.0</v>
      </c>
      <c r="H351" s="21"/>
      <c r="I351" s="21">
        <v>330.0</v>
      </c>
      <c r="J351" s="22">
        <v>30.0</v>
      </c>
      <c r="K351" s="50"/>
      <c r="L351" s="21" t="str">
        <f>IF(K351&gt;0,K351*I351,"")</f>
      </c>
      <c r="M351" s="52"/>
      <c r="N351" t="str">
        <f>IF(K351&gt;0,COUNTIF($K$7:K351,"&gt;0"),"")</f>
      </c>
      <c r="O351" t="s">
        <v>927</v>
      </c>
      <c r="P351" t="s">
        <v>926</v>
      </c>
      <c r="Q351" t="s">
        <v>926</v>
      </c>
    </row>
    <row r="352" spans="1:18" customHeight="1" ht="58">
      <c r="A352" s="16"/>
      <c r="B352" s="18" t="s">
        <v>920</v>
      </c>
      <c r="C352" s="17" t="s">
        <v>921</v>
      </c>
      <c r="D352" s="17" t="s">
        <v>929</v>
      </c>
      <c r="E352" s="17" t="s">
        <v>922</v>
      </c>
      <c r="F352" s="19"/>
      <c r="G352" s="20">
        <v>1.0</v>
      </c>
      <c r="H352" s="21"/>
      <c r="I352" s="21">
        <v>330.0</v>
      </c>
      <c r="J352" s="22">
        <v>28.0</v>
      </c>
      <c r="K352" s="50"/>
      <c r="L352" s="21" t="str">
        <f>IF(K352&gt;0,K352*I352,"")</f>
      </c>
      <c r="M352" s="52"/>
      <c r="N352" t="str">
        <f>IF(K352&gt;0,COUNTIF($K$7:K352,"&gt;0"),"")</f>
      </c>
      <c r="O352" t="s">
        <v>930</v>
      </c>
      <c r="P352" t="s">
        <v>928</v>
      </c>
      <c r="Q352" t="s">
        <v>928</v>
      </c>
    </row>
    <row r="353" spans="1:18" customHeight="1" ht="58">
      <c r="A353" s="16"/>
      <c r="B353" s="18" t="s">
        <v>920</v>
      </c>
      <c r="C353" s="17" t="s">
        <v>921</v>
      </c>
      <c r="D353" s="17" t="s">
        <v>40</v>
      </c>
      <c r="E353" s="17" t="s">
        <v>922</v>
      </c>
      <c r="F353" s="19"/>
      <c r="G353" s="20">
        <v>1.0</v>
      </c>
      <c r="H353" s="21"/>
      <c r="I353" s="21">
        <v>330.0</v>
      </c>
      <c r="J353" s="22">
        <v>36.0</v>
      </c>
      <c r="K353" s="50"/>
      <c r="L353" s="21" t="str">
        <f>IF(K353&gt;0,K353*I353,"")</f>
      </c>
      <c r="M353" s="52"/>
      <c r="N353" t="str">
        <f>IF(K353&gt;0,COUNTIF($K$7:K353,"&gt;0"),"")</f>
      </c>
      <c r="O353" t="s">
        <v>932</v>
      </c>
      <c r="P353" t="s">
        <v>931</v>
      </c>
      <c r="Q353" t="s">
        <v>931</v>
      </c>
    </row>
    <row r="354" spans="1:18" customHeight="1" ht="58">
      <c r="A354" s="16"/>
      <c r="B354" s="18" t="s">
        <v>920</v>
      </c>
      <c r="C354" s="17" t="s">
        <v>921</v>
      </c>
      <c r="D354" s="17" t="s">
        <v>85</v>
      </c>
      <c r="E354" s="17" t="s">
        <v>922</v>
      </c>
      <c r="F354" s="19"/>
      <c r="G354" s="20">
        <v>1.0</v>
      </c>
      <c r="H354" s="21"/>
      <c r="I354" s="21">
        <v>330.0</v>
      </c>
      <c r="J354" s="22">
        <v>27.0</v>
      </c>
      <c r="K354" s="50"/>
      <c r="L354" s="21" t="str">
        <f>IF(K354&gt;0,K354*I354,"")</f>
      </c>
      <c r="M354" s="52"/>
      <c r="N354" t="str">
        <f>IF(K354&gt;0,COUNTIF($K$7:K354,"&gt;0"),"")</f>
      </c>
      <c r="O354" t="s">
        <v>934</v>
      </c>
      <c r="P354" t="s">
        <v>933</v>
      </c>
      <c r="Q354" t="s">
        <v>933</v>
      </c>
    </row>
    <row r="355" spans="1:18" customHeight="1" ht="58">
      <c r="A355" s="16"/>
      <c r="B355" s="18" t="s">
        <v>920</v>
      </c>
      <c r="C355" s="17" t="s">
        <v>921</v>
      </c>
      <c r="D355" s="17" t="s">
        <v>302</v>
      </c>
      <c r="E355" s="17" t="s">
        <v>922</v>
      </c>
      <c r="F355" s="19"/>
      <c r="G355" s="20">
        <v>1.0</v>
      </c>
      <c r="H355" s="21"/>
      <c r="I355" s="21">
        <v>330.0</v>
      </c>
      <c r="J355" s="22">
        <v>27.0</v>
      </c>
      <c r="K355" s="50"/>
      <c r="L355" s="21" t="str">
        <f>IF(K355&gt;0,K355*I355,"")</f>
      </c>
      <c r="M355" s="52"/>
      <c r="N355" t="str">
        <f>IF(K355&gt;0,COUNTIF($K$7:K355,"&gt;0"),"")</f>
      </c>
      <c r="O355" t="s">
        <v>936</v>
      </c>
      <c r="P355" t="s">
        <v>935</v>
      </c>
      <c r="Q355" t="s">
        <v>935</v>
      </c>
    </row>
    <row r="356" spans="1:18" customHeight="1" ht="58">
      <c r="A356" s="16"/>
      <c r="B356" s="18" t="s">
        <v>938</v>
      </c>
      <c r="C356" s="17" t="s">
        <v>921</v>
      </c>
      <c r="D356" s="17" t="s">
        <v>302</v>
      </c>
      <c r="E356" s="17" t="s">
        <v>939</v>
      </c>
      <c r="F356" s="19"/>
      <c r="G356" s="20">
        <v>1.0</v>
      </c>
      <c r="H356" s="21"/>
      <c r="I356" s="21">
        <v>418.0</v>
      </c>
      <c r="J356" s="22">
        <v>18.0</v>
      </c>
      <c r="K356" s="50"/>
      <c r="L356" s="21" t="str">
        <f>IF(K356&gt;0,K356*I356,"")</f>
      </c>
      <c r="M356" s="52"/>
      <c r="N356" t="str">
        <f>IF(K356&gt;0,COUNTIF($K$7:K356,"&gt;0"),"")</f>
      </c>
      <c r="O356" t="s">
        <v>940</v>
      </c>
      <c r="P356" t="s">
        <v>937</v>
      </c>
      <c r="Q356" t="s">
        <v>937</v>
      </c>
    </row>
    <row r="357" spans="1:18" customHeight="1" ht="58">
      <c r="A357" s="16"/>
      <c r="B357" s="18" t="s">
        <v>938</v>
      </c>
      <c r="C357" s="17" t="s">
        <v>921</v>
      </c>
      <c r="D357" s="17" t="s">
        <v>89</v>
      </c>
      <c r="E357" s="17" t="s">
        <v>939</v>
      </c>
      <c r="F357" s="19"/>
      <c r="G357" s="20">
        <v>1.0</v>
      </c>
      <c r="H357" s="21"/>
      <c r="I357" s="21">
        <v>418.0</v>
      </c>
      <c r="J357" s="22">
        <v>12.0</v>
      </c>
      <c r="K357" s="50"/>
      <c r="L357" s="21" t="str">
        <f>IF(K357&gt;0,K357*I357,"")</f>
      </c>
      <c r="M357" s="52"/>
      <c r="N357" t="str">
        <f>IF(K357&gt;0,COUNTIF($K$7:K357,"&gt;0"),"")</f>
      </c>
      <c r="O357" t="s">
        <v>942</v>
      </c>
      <c r="P357" t="s">
        <v>941</v>
      </c>
      <c r="Q357" t="s">
        <v>941</v>
      </c>
    </row>
    <row r="358" spans="1:18" customHeight="1" ht="58">
      <c r="A358" s="16"/>
      <c r="B358" s="18" t="s">
        <v>938</v>
      </c>
      <c r="C358" s="17" t="s">
        <v>921</v>
      </c>
      <c r="D358" s="17" t="s">
        <v>85</v>
      </c>
      <c r="E358" s="17" t="s">
        <v>939</v>
      </c>
      <c r="F358" s="19"/>
      <c r="G358" s="20">
        <v>1.0</v>
      </c>
      <c r="H358" s="21"/>
      <c r="I358" s="21">
        <v>418.0</v>
      </c>
      <c r="J358" s="22">
        <v>12.0</v>
      </c>
      <c r="K358" s="50"/>
      <c r="L358" s="21" t="str">
        <f>IF(K358&gt;0,K358*I358,"")</f>
      </c>
      <c r="M358" s="52"/>
      <c r="N358" t="str">
        <f>IF(K358&gt;0,COUNTIF($K$7:K358,"&gt;0"),"")</f>
      </c>
      <c r="O358" t="s">
        <v>944</v>
      </c>
      <c r="P358" t="s">
        <v>943</v>
      </c>
      <c r="Q358" t="s">
        <v>943</v>
      </c>
    </row>
    <row r="359" spans="1:18" customHeight="1" ht="58">
      <c r="A359" s="16"/>
      <c r="B359" s="18" t="s">
        <v>938</v>
      </c>
      <c r="C359" s="17" t="s">
        <v>921</v>
      </c>
      <c r="D359" s="17" t="s">
        <v>40</v>
      </c>
      <c r="E359" s="17" t="s">
        <v>939</v>
      </c>
      <c r="F359" s="19"/>
      <c r="G359" s="20">
        <v>1.0</v>
      </c>
      <c r="H359" s="21"/>
      <c r="I359" s="21">
        <v>418.0</v>
      </c>
      <c r="J359" s="22">
        <v>4.0</v>
      </c>
      <c r="K359" s="50"/>
      <c r="L359" s="21" t="str">
        <f>IF(K359&gt;0,K359*I359,"")</f>
      </c>
      <c r="M359" s="52"/>
      <c r="N359" t="str">
        <f>IF(K359&gt;0,COUNTIF($K$7:K359,"&gt;0"),"")</f>
      </c>
      <c r="O359" t="s">
        <v>946</v>
      </c>
      <c r="P359" t="s">
        <v>945</v>
      </c>
      <c r="Q359" t="s">
        <v>945</v>
      </c>
    </row>
    <row r="360" spans="1:18" customHeight="1" ht="58">
      <c r="A360" s="16"/>
      <c r="B360" s="18" t="s">
        <v>938</v>
      </c>
      <c r="C360" s="17" t="s">
        <v>921</v>
      </c>
      <c r="D360" s="17" t="s">
        <v>93</v>
      </c>
      <c r="E360" s="17" t="s">
        <v>939</v>
      </c>
      <c r="F360" s="19"/>
      <c r="G360" s="20">
        <v>1.0</v>
      </c>
      <c r="H360" s="21"/>
      <c r="I360" s="21">
        <v>418.0</v>
      </c>
      <c r="J360" s="22">
        <v>12.0</v>
      </c>
      <c r="K360" s="50"/>
      <c r="L360" s="21" t="str">
        <f>IF(K360&gt;0,K360*I360,"")</f>
      </c>
      <c r="M360" s="52"/>
      <c r="N360" t="str">
        <f>IF(K360&gt;0,COUNTIF($K$7:K360,"&gt;0"),"")</f>
      </c>
      <c r="O360" t="s">
        <v>948</v>
      </c>
      <c r="P360" t="s">
        <v>947</v>
      </c>
      <c r="Q360" t="s">
        <v>947</v>
      </c>
    </row>
    <row r="361" spans="1:18" customHeight="1" ht="58">
      <c r="A361" s="16"/>
      <c r="B361" s="18" t="s">
        <v>938</v>
      </c>
      <c r="C361" s="17" t="s">
        <v>921</v>
      </c>
      <c r="D361" s="17" t="s">
        <v>205</v>
      </c>
      <c r="E361" s="17" t="s">
        <v>939</v>
      </c>
      <c r="F361" s="19"/>
      <c r="G361" s="20">
        <v>1.0</v>
      </c>
      <c r="H361" s="21"/>
      <c r="I361" s="21">
        <v>418.0</v>
      </c>
      <c r="J361" s="22">
        <v>12.0</v>
      </c>
      <c r="K361" s="50"/>
      <c r="L361" s="21" t="str">
        <f>IF(K361&gt;0,K361*I361,"")</f>
      </c>
      <c r="M361" s="52"/>
      <c r="N361" t="str">
        <f>IF(K361&gt;0,COUNTIF($K$7:K361,"&gt;0"),"")</f>
      </c>
      <c r="O361" t="s">
        <v>950</v>
      </c>
      <c r="P361" t="s">
        <v>949</v>
      </c>
      <c r="Q361" t="s">
        <v>949</v>
      </c>
    </row>
    <row r="362" spans="1:18" customHeight="1" ht="58">
      <c r="A362" s="16"/>
      <c r="B362" s="18" t="s">
        <v>938</v>
      </c>
      <c r="C362" s="17" t="s">
        <v>921</v>
      </c>
      <c r="D362" s="17" t="s">
        <v>929</v>
      </c>
      <c r="E362" s="17" t="s">
        <v>939</v>
      </c>
      <c r="F362" s="19"/>
      <c r="G362" s="20">
        <v>1.0</v>
      </c>
      <c r="H362" s="21"/>
      <c r="I362" s="21">
        <v>418.0</v>
      </c>
      <c r="J362" s="22">
        <v>15.0</v>
      </c>
      <c r="K362" s="50"/>
      <c r="L362" s="21" t="str">
        <f>IF(K362&gt;0,K362*I362,"")</f>
      </c>
      <c r="M362" s="52"/>
      <c r="N362" t="str">
        <f>IF(K362&gt;0,COUNTIF($K$7:K362,"&gt;0"),"")</f>
      </c>
      <c r="O362" t="s">
        <v>952</v>
      </c>
      <c r="P362" t="s">
        <v>951</v>
      </c>
      <c r="Q362" t="s">
        <v>951</v>
      </c>
    </row>
    <row r="363" spans="1:18" customHeight="1" ht="58">
      <c r="A363" s="16"/>
      <c r="B363" s="18" t="s">
        <v>954</v>
      </c>
      <c r="C363" s="17" t="s">
        <v>955</v>
      </c>
      <c r="D363" s="17" t="s">
        <v>302</v>
      </c>
      <c r="E363" s="17" t="s">
        <v>956</v>
      </c>
      <c r="F363" s="19"/>
      <c r="G363" s="20">
        <v>1.0</v>
      </c>
      <c r="H363" s="21"/>
      <c r="I363" s="21">
        <v>809.0</v>
      </c>
      <c r="J363" s="22">
        <v>14.0</v>
      </c>
      <c r="K363" s="50"/>
      <c r="L363" s="21" t="str">
        <f>IF(K363&gt;0,K363*I363,"")</f>
      </c>
      <c r="M363" s="52"/>
      <c r="N363" t="str">
        <f>IF(K363&gt;0,COUNTIF($K$7:K363,"&gt;0"),"")</f>
      </c>
      <c r="P363" t="s">
        <v>953</v>
      </c>
      <c r="Q363" t="s">
        <v>953</v>
      </c>
    </row>
    <row r="364" spans="1:18" customHeight="1" ht="58">
      <c r="A364" s="16"/>
      <c r="B364" s="18" t="s">
        <v>954</v>
      </c>
      <c r="C364" s="17" t="s">
        <v>955</v>
      </c>
      <c r="D364" s="17" t="s">
        <v>93</v>
      </c>
      <c r="E364" s="17" t="s">
        <v>956</v>
      </c>
      <c r="F364" s="19"/>
      <c r="G364" s="20">
        <v>1.0</v>
      </c>
      <c r="H364" s="21"/>
      <c r="I364" s="21">
        <v>809.0</v>
      </c>
      <c r="J364" s="22">
        <v>10.0</v>
      </c>
      <c r="K364" s="50"/>
      <c r="L364" s="21" t="str">
        <f>IF(K364&gt;0,K364*I364,"")</f>
      </c>
      <c r="M364" s="52"/>
      <c r="N364" t="str">
        <f>IF(K364&gt;0,COUNTIF($K$7:K364,"&gt;0"),"")</f>
      </c>
      <c r="O364" t="s">
        <v>958</v>
      </c>
      <c r="P364" t="s">
        <v>957</v>
      </c>
      <c r="Q364" t="s">
        <v>957</v>
      </c>
    </row>
    <row r="365" spans="1:18" customHeight="1" ht="58">
      <c r="A365" s="16"/>
      <c r="B365" s="18" t="s">
        <v>954</v>
      </c>
      <c r="C365" s="17" t="s">
        <v>955</v>
      </c>
      <c r="D365" s="17" t="s">
        <v>89</v>
      </c>
      <c r="E365" s="17" t="s">
        <v>956</v>
      </c>
      <c r="F365" s="19"/>
      <c r="G365" s="20">
        <v>1.0</v>
      </c>
      <c r="H365" s="21"/>
      <c r="I365" s="21">
        <v>809.0</v>
      </c>
      <c r="J365" s="22">
        <v>10.0</v>
      </c>
      <c r="K365" s="50"/>
      <c r="L365" s="21" t="str">
        <f>IF(K365&gt;0,K365*I365,"")</f>
      </c>
      <c r="M365" s="52"/>
      <c r="N365" t="str">
        <f>IF(K365&gt;0,COUNTIF($K$7:K365,"&gt;0"),"")</f>
      </c>
      <c r="O365" t="s">
        <v>960</v>
      </c>
      <c r="P365" t="s">
        <v>959</v>
      </c>
      <c r="Q365" t="s">
        <v>959</v>
      </c>
    </row>
    <row r="366" spans="1:18" customHeight="1" ht="58">
      <c r="A366" s="16"/>
      <c r="B366" s="18" t="s">
        <v>954</v>
      </c>
      <c r="C366" s="17" t="s">
        <v>955</v>
      </c>
      <c r="D366" s="17" t="s">
        <v>205</v>
      </c>
      <c r="E366" s="17" t="s">
        <v>956</v>
      </c>
      <c r="F366" s="19"/>
      <c r="G366" s="20">
        <v>1.0</v>
      </c>
      <c r="H366" s="21"/>
      <c r="I366" s="21">
        <v>809.0</v>
      </c>
      <c r="J366" s="22">
        <v>2.0</v>
      </c>
      <c r="K366" s="50"/>
      <c r="L366" s="21" t="str">
        <f>IF(K366&gt;0,K366*I366,"")</f>
      </c>
      <c r="M366" s="52"/>
      <c r="N366" t="str">
        <f>IF(K366&gt;0,COUNTIF($K$7:K366,"&gt;0"),"")</f>
      </c>
      <c r="O366" t="s">
        <v>962</v>
      </c>
      <c r="P366" t="s">
        <v>961</v>
      </c>
      <c r="Q366" t="s">
        <v>961</v>
      </c>
    </row>
    <row r="367" spans="1:18" customHeight="1" ht="58">
      <c r="A367" s="16"/>
      <c r="B367" s="18" t="s">
        <v>954</v>
      </c>
      <c r="C367" s="17" t="s">
        <v>955</v>
      </c>
      <c r="D367" s="17" t="s">
        <v>85</v>
      </c>
      <c r="E367" s="17" t="s">
        <v>956</v>
      </c>
      <c r="F367" s="19"/>
      <c r="G367" s="20">
        <v>1.0</v>
      </c>
      <c r="H367" s="21"/>
      <c r="I367" s="21">
        <v>809.0</v>
      </c>
      <c r="J367" s="22">
        <v>11.0</v>
      </c>
      <c r="K367" s="50"/>
      <c r="L367" s="21" t="str">
        <f>IF(K367&gt;0,K367*I367,"")</f>
      </c>
      <c r="M367" s="52"/>
      <c r="N367" t="str">
        <f>IF(K367&gt;0,COUNTIF($K$7:K367,"&gt;0"),"")</f>
      </c>
      <c r="O367" t="s">
        <v>964</v>
      </c>
      <c r="P367" t="s">
        <v>963</v>
      </c>
      <c r="Q367" t="s">
        <v>963</v>
      </c>
    </row>
    <row r="368" spans="1:18" customHeight="1" ht="58">
      <c r="A368" s="16"/>
      <c r="B368" s="18" t="s">
        <v>954</v>
      </c>
      <c r="C368" s="17" t="s">
        <v>955</v>
      </c>
      <c r="D368" s="17" t="s">
        <v>91</v>
      </c>
      <c r="E368" s="17" t="s">
        <v>956</v>
      </c>
      <c r="F368" s="19"/>
      <c r="G368" s="20">
        <v>1.0</v>
      </c>
      <c r="H368" s="21"/>
      <c r="I368" s="21">
        <v>809.0</v>
      </c>
      <c r="J368" s="22">
        <v>12.0</v>
      </c>
      <c r="K368" s="50"/>
      <c r="L368" s="21" t="str">
        <f>IF(K368&gt;0,K368*I368,"")</f>
      </c>
      <c r="M368" s="52"/>
      <c r="N368" t="str">
        <f>IF(K368&gt;0,COUNTIF($K$7:K368,"&gt;0"),"")</f>
      </c>
      <c r="O368" t="s">
        <v>966</v>
      </c>
      <c r="P368" t="s">
        <v>965</v>
      </c>
      <c r="Q368" t="s">
        <v>965</v>
      </c>
    </row>
    <row r="369" spans="1:18" customHeight="1" ht="58">
      <c r="A369" s="16"/>
      <c r="B369" s="18" t="s">
        <v>968</v>
      </c>
      <c r="C369" s="17" t="s">
        <v>955</v>
      </c>
      <c r="D369" s="17" t="s">
        <v>93</v>
      </c>
      <c r="E369" s="17" t="s">
        <v>969</v>
      </c>
      <c r="F369" s="19"/>
      <c r="G369" s="20">
        <v>1.0</v>
      </c>
      <c r="H369" s="21"/>
      <c r="I369" s="21">
        <v>1232.0</v>
      </c>
      <c r="J369" s="22">
        <v>12.0</v>
      </c>
      <c r="K369" s="50"/>
      <c r="L369" s="21" t="str">
        <f>IF(K369&gt;0,K369*I369,"")</f>
      </c>
      <c r="M369" s="52"/>
      <c r="N369" t="str">
        <f>IF(K369&gt;0,COUNTIF($K$7:K369,"&gt;0"),"")</f>
      </c>
      <c r="O369" t="s">
        <v>970</v>
      </c>
      <c r="P369" t="s">
        <v>967</v>
      </c>
      <c r="Q369" t="s">
        <v>967</v>
      </c>
    </row>
    <row r="370" spans="1:18" customHeight="1" ht="58">
      <c r="A370" s="16"/>
      <c r="B370" s="18" t="s">
        <v>968</v>
      </c>
      <c r="C370" s="17" t="s">
        <v>955</v>
      </c>
      <c r="D370" s="17" t="s">
        <v>205</v>
      </c>
      <c r="E370" s="17" t="s">
        <v>969</v>
      </c>
      <c r="F370" s="19"/>
      <c r="G370" s="20">
        <v>1.0</v>
      </c>
      <c r="H370" s="21"/>
      <c r="I370" s="21">
        <v>1232.0</v>
      </c>
      <c r="J370" s="22">
        <v>5.0</v>
      </c>
      <c r="K370" s="50"/>
      <c r="L370" s="21" t="str">
        <f>IF(K370&gt;0,K370*I370,"")</f>
      </c>
      <c r="M370" s="52"/>
      <c r="N370" t="str">
        <f>IF(K370&gt;0,COUNTIF($K$7:K370,"&gt;0"),"")</f>
      </c>
      <c r="O370" t="s">
        <v>972</v>
      </c>
      <c r="P370" t="s">
        <v>971</v>
      </c>
      <c r="Q370" t="s">
        <v>971</v>
      </c>
    </row>
    <row r="371" spans="1:18" customHeight="1" ht="58">
      <c r="A371" s="16"/>
      <c r="B371" s="18" t="s">
        <v>968</v>
      </c>
      <c r="C371" s="17" t="s">
        <v>955</v>
      </c>
      <c r="D371" s="17" t="s">
        <v>89</v>
      </c>
      <c r="E371" s="17" t="s">
        <v>969</v>
      </c>
      <c r="F371" s="19"/>
      <c r="G371" s="20">
        <v>1.0</v>
      </c>
      <c r="H371" s="21"/>
      <c r="I371" s="21">
        <v>1232.0</v>
      </c>
      <c r="J371" s="22">
        <v>10.0</v>
      </c>
      <c r="K371" s="50"/>
      <c r="L371" s="21" t="str">
        <f>IF(K371&gt;0,K371*I371,"")</f>
      </c>
      <c r="M371" s="52"/>
      <c r="N371" t="str">
        <f>IF(K371&gt;0,COUNTIF($K$7:K371,"&gt;0"),"")</f>
      </c>
      <c r="O371" t="s">
        <v>974</v>
      </c>
      <c r="P371" t="s">
        <v>973</v>
      </c>
      <c r="Q371" t="s">
        <v>973</v>
      </c>
    </row>
    <row r="372" spans="1:18" customHeight="1" ht="58">
      <c r="A372" s="16"/>
      <c r="B372" s="18" t="s">
        <v>968</v>
      </c>
      <c r="C372" s="17" t="s">
        <v>955</v>
      </c>
      <c r="D372" s="17" t="s">
        <v>91</v>
      </c>
      <c r="E372" s="17" t="s">
        <v>969</v>
      </c>
      <c r="F372" s="19"/>
      <c r="G372" s="20">
        <v>1.0</v>
      </c>
      <c r="H372" s="21"/>
      <c r="I372" s="21">
        <v>1232.0</v>
      </c>
      <c r="J372" s="22">
        <v>11.0</v>
      </c>
      <c r="K372" s="50"/>
      <c r="L372" s="21" t="str">
        <f>IF(K372&gt;0,K372*I372,"")</f>
      </c>
      <c r="M372" s="52"/>
      <c r="N372" t="str">
        <f>IF(K372&gt;0,COUNTIF($K$7:K372,"&gt;0"),"")</f>
      </c>
      <c r="O372" t="s">
        <v>976</v>
      </c>
      <c r="P372" t="s">
        <v>975</v>
      </c>
      <c r="Q372" t="s">
        <v>975</v>
      </c>
    </row>
    <row r="373" spans="1:18" customHeight="1" ht="58">
      <c r="A373" s="16"/>
      <c r="B373" s="18" t="s">
        <v>968</v>
      </c>
      <c r="C373" s="17" t="s">
        <v>955</v>
      </c>
      <c r="D373" s="17" t="s">
        <v>302</v>
      </c>
      <c r="E373" s="17" t="s">
        <v>969</v>
      </c>
      <c r="F373" s="19"/>
      <c r="G373" s="20">
        <v>1.0</v>
      </c>
      <c r="H373" s="21"/>
      <c r="I373" s="21">
        <v>1232.0</v>
      </c>
      <c r="J373" s="22">
        <v>13.0</v>
      </c>
      <c r="K373" s="50"/>
      <c r="L373" s="21" t="str">
        <f>IF(K373&gt;0,K373*I373,"")</f>
      </c>
      <c r="M373" s="52"/>
      <c r="N373" t="str">
        <f>IF(K373&gt;0,COUNTIF($K$7:K373,"&gt;0"),"")</f>
      </c>
      <c r="O373" t="s">
        <v>978</v>
      </c>
      <c r="P373" t="s">
        <v>977</v>
      </c>
      <c r="Q373" t="s">
        <v>977</v>
      </c>
    </row>
    <row r="374" spans="1:18" customHeight="1" ht="58">
      <c r="A374" s="16"/>
      <c r="B374" s="18" t="s">
        <v>968</v>
      </c>
      <c r="C374" s="17" t="s">
        <v>955</v>
      </c>
      <c r="D374" s="17" t="s">
        <v>85</v>
      </c>
      <c r="E374" s="17" t="s">
        <v>969</v>
      </c>
      <c r="F374" s="19"/>
      <c r="G374" s="20">
        <v>1.0</v>
      </c>
      <c r="H374" s="21"/>
      <c r="I374" s="21">
        <v>1232.0</v>
      </c>
      <c r="J374" s="22">
        <v>14.0</v>
      </c>
      <c r="K374" s="50"/>
      <c r="L374" s="21" t="str">
        <f>IF(K374&gt;0,K374*I374,"")</f>
      </c>
      <c r="M374" s="52"/>
      <c r="N374" t="str">
        <f>IF(K374&gt;0,COUNTIF($K$7:K374,"&gt;0"),"")</f>
      </c>
      <c r="O374" t="s">
        <v>980</v>
      </c>
      <c r="P374" t="s">
        <v>979</v>
      </c>
      <c r="Q374" t="s">
        <v>979</v>
      </c>
    </row>
    <row r="375" spans="1:18" customHeight="1" ht="58">
      <c r="A375" s="16"/>
      <c r="B375" s="18" t="s">
        <v>968</v>
      </c>
      <c r="C375" s="17" t="s">
        <v>955</v>
      </c>
      <c r="D375" s="17" t="s">
        <v>40</v>
      </c>
      <c r="E375" s="17" t="s">
        <v>969</v>
      </c>
      <c r="F375" s="19"/>
      <c r="G375" s="20">
        <v>1.0</v>
      </c>
      <c r="H375" s="21"/>
      <c r="I375" s="21">
        <v>1232.0</v>
      </c>
      <c r="J375" s="22">
        <v>7.0</v>
      </c>
      <c r="K375" s="50"/>
      <c r="L375" s="21" t="str">
        <f>IF(K375&gt;0,K375*I375,"")</f>
      </c>
      <c r="M375" s="52"/>
      <c r="N375" t="str">
        <f>IF(K375&gt;0,COUNTIF($K$7:K375,"&gt;0"),"")</f>
      </c>
      <c r="O375" t="s">
        <v>982</v>
      </c>
      <c r="P375" t="s">
        <v>981</v>
      </c>
      <c r="Q375" t="s">
        <v>981</v>
      </c>
    </row>
    <row r="376" spans="1:18" customHeight="1" ht="58">
      <c r="A376" s="16"/>
      <c r="B376" s="18" t="s">
        <v>984</v>
      </c>
      <c r="C376" s="17" t="s">
        <v>921</v>
      </c>
      <c r="D376" s="17" t="s">
        <v>985</v>
      </c>
      <c r="E376" s="17" t="s">
        <v>986</v>
      </c>
      <c r="F376" s="19"/>
      <c r="G376" s="20">
        <v>1.0</v>
      </c>
      <c r="H376" s="21"/>
      <c r="I376" s="21">
        <v>2178.0</v>
      </c>
      <c r="J376" s="22">
        <v>11.0</v>
      </c>
      <c r="K376" s="50"/>
      <c r="L376" s="21" t="str">
        <f>IF(K376&gt;0,K376*I376,"")</f>
      </c>
      <c r="M376" s="52"/>
      <c r="N376" t="str">
        <f>IF(K376&gt;0,COUNTIF($K$7:K376,"&gt;0"),"")</f>
      </c>
      <c r="O376" t="s">
        <v>987</v>
      </c>
      <c r="P376" t="s">
        <v>983</v>
      </c>
      <c r="Q376" t="s">
        <v>983</v>
      </c>
    </row>
    <row r="377" spans="1:18" customHeight="1" ht="58">
      <c r="A377" s="16"/>
      <c r="B377" s="18" t="s">
        <v>984</v>
      </c>
      <c r="C377" s="17" t="s">
        <v>921</v>
      </c>
      <c r="D377" s="17" t="s">
        <v>989</v>
      </c>
      <c r="E377" s="17" t="s">
        <v>986</v>
      </c>
      <c r="F377" s="19"/>
      <c r="G377" s="20">
        <v>1.0</v>
      </c>
      <c r="H377" s="21"/>
      <c r="I377" s="21">
        <v>2178.0</v>
      </c>
      <c r="J377" s="22">
        <v>13.0</v>
      </c>
      <c r="K377" s="50"/>
      <c r="L377" s="21" t="str">
        <f>IF(K377&gt;0,K377*I377,"")</f>
      </c>
      <c r="M377" s="52"/>
      <c r="N377" t="str">
        <f>IF(K377&gt;0,COUNTIF($K$7:K377,"&gt;0"),"")</f>
      </c>
      <c r="O377" t="s">
        <v>990</v>
      </c>
      <c r="P377" t="s">
        <v>988</v>
      </c>
      <c r="Q377" t="s">
        <v>988</v>
      </c>
    </row>
    <row r="378" spans="1:18" customHeight="1" ht="58">
      <c r="A378" s="16"/>
      <c r="B378" s="18" t="s">
        <v>984</v>
      </c>
      <c r="C378" s="17" t="s">
        <v>921</v>
      </c>
      <c r="D378" s="17" t="s">
        <v>992</v>
      </c>
      <c r="E378" s="17" t="s">
        <v>986</v>
      </c>
      <c r="F378" s="19"/>
      <c r="G378" s="20">
        <v>1.0</v>
      </c>
      <c r="H378" s="21"/>
      <c r="I378" s="21">
        <v>2178.0</v>
      </c>
      <c r="J378" s="22">
        <v>10.0</v>
      </c>
      <c r="K378" s="50"/>
      <c r="L378" s="21" t="str">
        <f>IF(K378&gt;0,K378*I378,"")</f>
      </c>
      <c r="M378" s="52"/>
      <c r="N378" t="str">
        <f>IF(K378&gt;0,COUNTIF($K$7:K378,"&gt;0"),"")</f>
      </c>
      <c r="O378" t="s">
        <v>993</v>
      </c>
      <c r="P378" t="s">
        <v>991</v>
      </c>
      <c r="Q378" t="s">
        <v>991</v>
      </c>
    </row>
    <row r="379" spans="1:18" customHeight="1" ht="58">
      <c r="A379" s="16"/>
      <c r="B379" s="18" t="s">
        <v>984</v>
      </c>
      <c r="C379" s="17" t="s">
        <v>921</v>
      </c>
      <c r="D379" s="17" t="s">
        <v>995</v>
      </c>
      <c r="E379" s="17" t="s">
        <v>986</v>
      </c>
      <c r="F379" s="19"/>
      <c r="G379" s="20">
        <v>1.0</v>
      </c>
      <c r="H379" s="21"/>
      <c r="I379" s="21">
        <v>2178.0</v>
      </c>
      <c r="J379" s="22">
        <v>10.0</v>
      </c>
      <c r="K379" s="50"/>
      <c r="L379" s="21" t="str">
        <f>IF(K379&gt;0,K379*I379,"")</f>
      </c>
      <c r="M379" s="52"/>
      <c r="N379" t="str">
        <f>IF(K379&gt;0,COUNTIF($K$7:K379,"&gt;0"),"")</f>
      </c>
      <c r="O379" t="s">
        <v>996</v>
      </c>
      <c r="P379" t="s">
        <v>994</v>
      </c>
      <c r="Q379" t="s">
        <v>994</v>
      </c>
    </row>
    <row r="380" spans="1:18" customHeight="1" ht="58">
      <c r="A380" s="16"/>
      <c r="B380" s="18" t="s">
        <v>984</v>
      </c>
      <c r="C380" s="17" t="s">
        <v>921</v>
      </c>
      <c r="D380" s="17" t="s">
        <v>998</v>
      </c>
      <c r="E380" s="17" t="s">
        <v>986</v>
      </c>
      <c r="F380" s="19"/>
      <c r="G380" s="20">
        <v>1.0</v>
      </c>
      <c r="H380" s="21"/>
      <c r="I380" s="21">
        <v>2178.0</v>
      </c>
      <c r="J380" s="22">
        <v>13.0</v>
      </c>
      <c r="K380" s="50"/>
      <c r="L380" s="21" t="str">
        <f>IF(K380&gt;0,K380*I380,"")</f>
      </c>
      <c r="M380" s="52"/>
      <c r="N380" t="str">
        <f>IF(K380&gt;0,COUNTIF($K$7:K380,"&gt;0"),"")</f>
      </c>
      <c r="O380" t="s">
        <v>999</v>
      </c>
      <c r="P380" t="s">
        <v>997</v>
      </c>
      <c r="Q380" t="s">
        <v>997</v>
      </c>
    </row>
    <row r="381" spans="1:18" customHeight="1" ht="58">
      <c r="A381" s="16"/>
      <c r="B381" s="18" t="s">
        <v>1001</v>
      </c>
      <c r="C381" s="17" t="s">
        <v>1002</v>
      </c>
      <c r="D381" s="17" t="s">
        <v>1003</v>
      </c>
      <c r="E381" s="17" t="s">
        <v>1004</v>
      </c>
      <c r="F381" s="19"/>
      <c r="G381" s="20">
        <v>1.0</v>
      </c>
      <c r="H381" s="21"/>
      <c r="I381" s="21">
        <v>205.0</v>
      </c>
      <c r="J381" s="22">
        <v>44.0</v>
      </c>
      <c r="K381" s="50"/>
      <c r="L381" s="21" t="str">
        <f>IF(K381&gt;0,K381*I381,"")</f>
      </c>
      <c r="M381" s="52"/>
      <c r="N381" t="str">
        <f>IF(K381&gt;0,COUNTIF($K$7:K381,"&gt;0"),"")</f>
      </c>
      <c r="O381" t="s">
        <v>1005</v>
      </c>
      <c r="P381" t="s">
        <v>1000</v>
      </c>
      <c r="Q381" t="s">
        <v>1000</v>
      </c>
    </row>
    <row r="382" spans="1:18" customHeight="1" ht="58">
      <c r="A382" s="16"/>
      <c r="B382" s="18" t="s">
        <v>1001</v>
      </c>
      <c r="C382" s="17" t="s">
        <v>1002</v>
      </c>
      <c r="D382" s="17" t="s">
        <v>228</v>
      </c>
      <c r="E382" s="17" t="s">
        <v>1004</v>
      </c>
      <c r="F382" s="19"/>
      <c r="G382" s="20">
        <v>1.0</v>
      </c>
      <c r="H382" s="21"/>
      <c r="I382" s="21">
        <v>205.0</v>
      </c>
      <c r="J382" s="22">
        <v>20.0</v>
      </c>
      <c r="K382" s="50"/>
      <c r="L382" s="21" t="str">
        <f>IF(K382&gt;0,K382*I382,"")</f>
      </c>
      <c r="M382" s="52"/>
      <c r="N382" t="str">
        <f>IF(K382&gt;0,COUNTIF($K$7:K382,"&gt;0"),"")</f>
      </c>
      <c r="O382" t="s">
        <v>1007</v>
      </c>
      <c r="P382" t="s">
        <v>1006</v>
      </c>
      <c r="Q382" t="s">
        <v>1006</v>
      </c>
    </row>
    <row r="383" spans="1:18" customHeight="1" ht="58">
      <c r="A383" s="16"/>
      <c r="B383" s="18" t="s">
        <v>1001</v>
      </c>
      <c r="C383" s="17" t="s">
        <v>1002</v>
      </c>
      <c r="D383" s="17" t="s">
        <v>231</v>
      </c>
      <c r="E383" s="17" t="s">
        <v>1004</v>
      </c>
      <c r="F383" s="19"/>
      <c r="G383" s="20">
        <v>1.0</v>
      </c>
      <c r="H383" s="21"/>
      <c r="I383" s="21">
        <v>205.0</v>
      </c>
      <c r="J383" s="22">
        <v>11.0</v>
      </c>
      <c r="K383" s="50"/>
      <c r="L383" s="21" t="str">
        <f>IF(K383&gt;0,K383*I383,"")</f>
      </c>
      <c r="M383" s="52"/>
      <c r="N383" t="str">
        <f>IF(K383&gt;0,COUNTIF($K$7:K383,"&gt;0"),"")</f>
      </c>
      <c r="O383" t="s">
        <v>1009</v>
      </c>
      <c r="P383" t="s">
        <v>1008</v>
      </c>
      <c r="Q383" t="s">
        <v>1008</v>
      </c>
    </row>
    <row r="384" spans="1:18" customHeight="1" ht="58">
      <c r="A384" s="16"/>
      <c r="B384" s="18" t="s">
        <v>1001</v>
      </c>
      <c r="C384" s="17" t="s">
        <v>1002</v>
      </c>
      <c r="D384" s="17" t="s">
        <v>224</v>
      </c>
      <c r="E384" s="17" t="s">
        <v>1004</v>
      </c>
      <c r="F384" s="19"/>
      <c r="G384" s="20">
        <v>1.0</v>
      </c>
      <c r="H384" s="21"/>
      <c r="I384" s="21">
        <v>205.0</v>
      </c>
      <c r="J384" s="22">
        <v>17.0</v>
      </c>
      <c r="K384" s="50"/>
      <c r="L384" s="21" t="str">
        <f>IF(K384&gt;0,K384*I384,"")</f>
      </c>
      <c r="M384" s="52"/>
      <c r="N384" t="str">
        <f>IF(K384&gt;0,COUNTIF($K$7:K384,"&gt;0"),"")</f>
      </c>
      <c r="O384" t="s">
        <v>1011</v>
      </c>
      <c r="P384" t="s">
        <v>1010</v>
      </c>
      <c r="Q384" t="s">
        <v>1010</v>
      </c>
    </row>
    <row r="385" spans="1:18" customHeight="1" ht="58">
      <c r="A385" s="16"/>
      <c r="B385" s="18" t="s">
        <v>1001</v>
      </c>
      <c r="C385" s="17" t="s">
        <v>1002</v>
      </c>
      <c r="D385" s="17" t="s">
        <v>1013</v>
      </c>
      <c r="E385" s="17" t="s">
        <v>1004</v>
      </c>
      <c r="F385" s="19"/>
      <c r="G385" s="20">
        <v>1.0</v>
      </c>
      <c r="H385" s="21"/>
      <c r="I385" s="21">
        <v>205.0</v>
      </c>
      <c r="J385" s="22">
        <v>48.0</v>
      </c>
      <c r="K385" s="50"/>
      <c r="L385" s="21" t="str">
        <f>IF(K385&gt;0,K385*I385,"")</f>
      </c>
      <c r="M385" s="52"/>
      <c r="N385" t="str">
        <f>IF(K385&gt;0,COUNTIF($K$7:K385,"&gt;0"),"")</f>
      </c>
      <c r="O385" t="s">
        <v>1014</v>
      </c>
      <c r="P385" t="s">
        <v>1012</v>
      </c>
      <c r="Q385" t="s">
        <v>1012</v>
      </c>
    </row>
    <row r="386" spans="1:18" customHeight="1" ht="58">
      <c r="A386" s="16"/>
      <c r="B386" s="18" t="s">
        <v>1001</v>
      </c>
      <c r="C386" s="17" t="s">
        <v>1002</v>
      </c>
      <c r="D386" s="17" t="s">
        <v>1016</v>
      </c>
      <c r="E386" s="17" t="s">
        <v>1004</v>
      </c>
      <c r="F386" s="19"/>
      <c r="G386" s="20">
        <v>1.0</v>
      </c>
      <c r="H386" s="21"/>
      <c r="I386" s="21">
        <v>205.0</v>
      </c>
      <c r="J386" s="22">
        <v>6.0</v>
      </c>
      <c r="K386" s="50"/>
      <c r="L386" s="21" t="str">
        <f>IF(K386&gt;0,K386*I386,"")</f>
      </c>
      <c r="M386" s="52"/>
      <c r="N386" t="str">
        <f>IF(K386&gt;0,COUNTIF($K$7:K386,"&gt;0"),"")</f>
      </c>
      <c r="O386" t="s">
        <v>1017</v>
      </c>
      <c r="P386" t="s">
        <v>1015</v>
      </c>
      <c r="Q386" t="s">
        <v>1015</v>
      </c>
    </row>
    <row r="387" spans="1:18" customHeight="1" ht="58">
      <c r="A387" s="16"/>
      <c r="B387" s="18" t="s">
        <v>1019</v>
      </c>
      <c r="C387" s="17" t="s">
        <v>1020</v>
      </c>
      <c r="D387" s="17" t="s">
        <v>328</v>
      </c>
      <c r="E387" s="17" t="s">
        <v>1021</v>
      </c>
      <c r="F387" s="19"/>
      <c r="G387" s="20">
        <v>1.0</v>
      </c>
      <c r="H387" s="21"/>
      <c r="I387" s="21">
        <v>1144.0</v>
      </c>
      <c r="J387" s="22">
        <v>4.0</v>
      </c>
      <c r="K387" s="50"/>
      <c r="L387" s="21" t="str">
        <f>IF(K387&gt;0,K387*I387,"")</f>
      </c>
      <c r="M387" s="52"/>
      <c r="N387" t="str">
        <f>IF(K387&gt;0,COUNTIF($K$7:K387,"&gt;0"),"")</f>
      </c>
      <c r="O387" t="s">
        <v>1022</v>
      </c>
      <c r="P387" t="s">
        <v>1018</v>
      </c>
      <c r="Q387" t="s">
        <v>1018</v>
      </c>
    </row>
    <row r="388" spans="1:18" customHeight="1" ht="58">
      <c r="A388" s="16"/>
      <c r="B388" s="18" t="s">
        <v>1019</v>
      </c>
      <c r="C388" s="17" t="s">
        <v>1020</v>
      </c>
      <c r="D388" s="17" t="s">
        <v>85</v>
      </c>
      <c r="E388" s="17" t="s">
        <v>1021</v>
      </c>
      <c r="F388" s="19"/>
      <c r="G388" s="20">
        <v>1.0</v>
      </c>
      <c r="H388" s="21"/>
      <c r="I388" s="21">
        <v>1144.0</v>
      </c>
      <c r="J388" s="22">
        <v>6.0</v>
      </c>
      <c r="K388" s="50"/>
      <c r="L388" s="21" t="str">
        <f>IF(K388&gt;0,K388*I388,"")</f>
      </c>
      <c r="M388" s="52"/>
      <c r="N388" t="str">
        <f>IF(K388&gt;0,COUNTIF($K$7:K388,"&gt;0"),"")</f>
      </c>
      <c r="O388" t="s">
        <v>1024</v>
      </c>
      <c r="P388" t="s">
        <v>1023</v>
      </c>
      <c r="Q388" t="s">
        <v>1023</v>
      </c>
    </row>
    <row r="389" spans="1:18" customHeight="1" ht="58">
      <c r="A389" s="16"/>
      <c r="B389" s="18" t="s">
        <v>1019</v>
      </c>
      <c r="C389" s="17" t="s">
        <v>1020</v>
      </c>
      <c r="D389" s="17" t="s">
        <v>324</v>
      </c>
      <c r="E389" s="17" t="s">
        <v>1021</v>
      </c>
      <c r="F389" s="19"/>
      <c r="G389" s="20">
        <v>1.0</v>
      </c>
      <c r="H389" s="21"/>
      <c r="I389" s="21">
        <v>1144.0</v>
      </c>
      <c r="J389" s="22">
        <v>4.0</v>
      </c>
      <c r="K389" s="50"/>
      <c r="L389" s="21" t="str">
        <f>IF(K389&gt;0,K389*I389,"")</f>
      </c>
      <c r="M389" s="52"/>
      <c r="N389" t="str">
        <f>IF(K389&gt;0,COUNTIF($K$7:K389,"&gt;0"),"")</f>
      </c>
      <c r="O389" t="s">
        <v>1026</v>
      </c>
      <c r="P389" t="s">
        <v>1025</v>
      </c>
      <c r="Q389" t="s">
        <v>1025</v>
      </c>
    </row>
    <row r="390" spans="1:18" customHeight="1" ht="58">
      <c r="A390" s="16"/>
      <c r="B390" s="18" t="s">
        <v>1019</v>
      </c>
      <c r="C390" s="17" t="s">
        <v>1020</v>
      </c>
      <c r="D390" s="17" t="s">
        <v>561</v>
      </c>
      <c r="E390" s="17" t="s">
        <v>1021</v>
      </c>
      <c r="F390" s="19"/>
      <c r="G390" s="20">
        <v>1.0</v>
      </c>
      <c r="H390" s="21"/>
      <c r="I390" s="21">
        <v>1144.0</v>
      </c>
      <c r="J390" s="22">
        <v>12.0</v>
      </c>
      <c r="K390" s="50"/>
      <c r="L390" s="21" t="str">
        <f>IF(K390&gt;0,K390*I390,"")</f>
      </c>
      <c r="M390" s="52"/>
      <c r="N390" t="str">
        <f>IF(K390&gt;0,COUNTIF($K$7:K390,"&gt;0"),"")</f>
      </c>
      <c r="O390" t="s">
        <v>1028</v>
      </c>
      <c r="P390" t="s">
        <v>1027</v>
      </c>
      <c r="Q390" t="s">
        <v>1027</v>
      </c>
    </row>
    <row r="391" spans="1:18" customHeight="1" ht="58">
      <c r="A391" s="16"/>
      <c r="B391" s="18" t="s">
        <v>1019</v>
      </c>
      <c r="C391" s="17" t="s">
        <v>1020</v>
      </c>
      <c r="D391" s="17" t="s">
        <v>134</v>
      </c>
      <c r="E391" s="17" t="s">
        <v>1021</v>
      </c>
      <c r="F391" s="19"/>
      <c r="G391" s="20">
        <v>1.0</v>
      </c>
      <c r="H391" s="21"/>
      <c r="I391" s="21">
        <v>1144.0</v>
      </c>
      <c r="J391" s="22">
        <v>5.0</v>
      </c>
      <c r="K391" s="50"/>
      <c r="L391" s="21" t="str">
        <f>IF(K391&gt;0,K391*I391,"")</f>
      </c>
      <c r="M391" s="52"/>
      <c r="N391" t="str">
        <f>IF(K391&gt;0,COUNTIF($K$7:K391,"&gt;0"),"")</f>
      </c>
      <c r="O391" t="s">
        <v>1030</v>
      </c>
      <c r="P391" t="s">
        <v>1029</v>
      </c>
      <c r="Q391" t="s">
        <v>1029</v>
      </c>
    </row>
    <row r="392" spans="1:18" customHeight="1" ht="58">
      <c r="A392" s="16"/>
      <c r="B392" s="18" t="s">
        <v>1019</v>
      </c>
      <c r="C392" s="17" t="s">
        <v>1020</v>
      </c>
      <c r="D392" s="17" t="s">
        <v>93</v>
      </c>
      <c r="E392" s="17" t="s">
        <v>1021</v>
      </c>
      <c r="F392" s="19"/>
      <c r="G392" s="20">
        <v>1.0</v>
      </c>
      <c r="H392" s="21"/>
      <c r="I392" s="21">
        <v>1144.0</v>
      </c>
      <c r="J392" s="22">
        <v>4.0</v>
      </c>
      <c r="K392" s="50"/>
      <c r="L392" s="21" t="str">
        <f>IF(K392&gt;0,K392*I392,"")</f>
      </c>
      <c r="M392" s="52"/>
      <c r="N392" t="str">
        <f>IF(K392&gt;0,COUNTIF($K$7:K392,"&gt;0"),"")</f>
      </c>
      <c r="O392" t="s">
        <v>1032</v>
      </c>
      <c r="P392" t="s">
        <v>1031</v>
      </c>
      <c r="Q392" t="s">
        <v>1031</v>
      </c>
    </row>
    <row r="393" spans="1:18" customHeight="1" ht="58">
      <c r="A393" s="16"/>
      <c r="B393" s="18" t="s">
        <v>1034</v>
      </c>
      <c r="C393" s="17" t="s">
        <v>1035</v>
      </c>
      <c r="D393" s="17" t="s">
        <v>302</v>
      </c>
      <c r="E393" s="17" t="s">
        <v>120</v>
      </c>
      <c r="F393" s="19"/>
      <c r="G393" s="20">
        <v>1.0</v>
      </c>
      <c r="H393" s="21"/>
      <c r="I393" s="21">
        <v>324.0</v>
      </c>
      <c r="J393" s="22">
        <v>2.0</v>
      </c>
      <c r="K393" s="50"/>
      <c r="L393" s="21" t="str">
        <f>IF(K393&gt;0,K393*I393,"")</f>
      </c>
      <c r="M393" s="52"/>
      <c r="N393" t="str">
        <f>IF(K393&gt;0,COUNTIF($K$7:K393,"&gt;0"),"")</f>
      </c>
      <c r="O393" t="s">
        <v>1036</v>
      </c>
      <c r="P393" t="s">
        <v>1033</v>
      </c>
      <c r="Q393" t="s">
        <v>1033</v>
      </c>
    </row>
    <row r="394" spans="1:18" customHeight="1" ht="58">
      <c r="A394" s="16"/>
      <c r="B394" s="18" t="s">
        <v>1038</v>
      </c>
      <c r="C394" s="17" t="s">
        <v>1039</v>
      </c>
      <c r="D394" s="17" t="s">
        <v>234</v>
      </c>
      <c r="E394" s="17" t="s">
        <v>345</v>
      </c>
      <c r="F394" s="19"/>
      <c r="G394" s="20">
        <v>1.0</v>
      </c>
      <c r="H394" s="21"/>
      <c r="I394" s="21">
        <v>171.0</v>
      </c>
      <c r="J394" s="22">
        <v>60.0</v>
      </c>
      <c r="K394" s="50"/>
      <c r="L394" s="21" t="str">
        <f>IF(K394&gt;0,K394*I394,"")</f>
      </c>
      <c r="M394" s="52"/>
      <c r="N394" t="str">
        <f>IF(K394&gt;0,COUNTIF($K$7:K394,"&gt;0"),"")</f>
      </c>
      <c r="O394" t="s">
        <v>1040</v>
      </c>
      <c r="P394" t="s">
        <v>1037</v>
      </c>
      <c r="Q394" t="s">
        <v>1037</v>
      </c>
    </row>
    <row r="395" spans="1:18" customHeight="1" ht="58">
      <c r="A395" s="16"/>
      <c r="B395" s="18" t="s">
        <v>1038</v>
      </c>
      <c r="C395" s="17" t="s">
        <v>1039</v>
      </c>
      <c r="D395" s="17" t="s">
        <v>228</v>
      </c>
      <c r="E395" s="17" t="s">
        <v>345</v>
      </c>
      <c r="F395" s="19"/>
      <c r="G395" s="20">
        <v>1.0</v>
      </c>
      <c r="H395" s="21"/>
      <c r="I395" s="21">
        <v>171.0</v>
      </c>
      <c r="J395" s="22">
        <v>67.0</v>
      </c>
      <c r="K395" s="50"/>
      <c r="L395" s="21" t="str">
        <f>IF(K395&gt;0,K395*I395,"")</f>
      </c>
      <c r="M395" s="52"/>
      <c r="N395" t="str">
        <f>IF(K395&gt;0,COUNTIF($K$7:K395,"&gt;0"),"")</f>
      </c>
      <c r="O395" t="s">
        <v>1042</v>
      </c>
      <c r="P395" t="s">
        <v>1041</v>
      </c>
      <c r="Q395" t="s">
        <v>1041</v>
      </c>
    </row>
    <row r="396" spans="1:18" customHeight="1" ht="58">
      <c r="A396" s="16"/>
      <c r="B396" s="18" t="s">
        <v>1044</v>
      </c>
      <c r="C396" s="17" t="s">
        <v>1045</v>
      </c>
      <c r="D396" s="17" t="s">
        <v>1046</v>
      </c>
      <c r="E396" s="17" t="s">
        <v>1047</v>
      </c>
      <c r="F396" s="19"/>
      <c r="G396" s="20">
        <v>1.0</v>
      </c>
      <c r="H396" s="21"/>
      <c r="I396" s="21">
        <v>434.0</v>
      </c>
      <c r="J396" s="22">
        <v>4.0</v>
      </c>
      <c r="K396" s="50"/>
      <c r="L396" s="21" t="str">
        <f>IF(K396&gt;0,K396*I396,"")</f>
      </c>
      <c r="M396" s="52"/>
      <c r="N396" t="str">
        <f>IF(K396&gt;0,COUNTIF($K$7:K396,"&gt;0"),"")</f>
      </c>
      <c r="O396" t="s">
        <v>1048</v>
      </c>
      <c r="P396" t="s">
        <v>1043</v>
      </c>
      <c r="Q396" t="s">
        <v>1043</v>
      </c>
    </row>
    <row r="397" spans="1:18" customHeight="1" ht="58">
      <c r="A397" s="16"/>
      <c r="B397" s="18" t="s">
        <v>1050</v>
      </c>
      <c r="C397" s="17" t="s">
        <v>1051</v>
      </c>
      <c r="D397" s="17" t="s">
        <v>40</v>
      </c>
      <c r="E397" s="17" t="s">
        <v>1052</v>
      </c>
      <c r="F397" s="19"/>
      <c r="G397" s="20">
        <v>1.0</v>
      </c>
      <c r="H397" s="21"/>
      <c r="I397" s="21">
        <v>160.0</v>
      </c>
      <c r="J397" s="22">
        <v>24.0</v>
      </c>
      <c r="K397" s="50"/>
      <c r="L397" s="21" t="str">
        <f>IF(K397&gt;0,K397*I397,"")</f>
      </c>
      <c r="M397" s="52"/>
      <c r="N397" t="str">
        <f>IF(K397&gt;0,COUNTIF($K$7:K397,"&gt;0"),"")</f>
      </c>
      <c r="O397" t="s">
        <v>1053</v>
      </c>
      <c r="P397" t="s">
        <v>1049</v>
      </c>
      <c r="Q397" t="s">
        <v>1049</v>
      </c>
    </row>
    <row r="398" spans="1:18" customHeight="1" ht="58">
      <c r="A398" s="16"/>
      <c r="B398" s="18" t="s">
        <v>1050</v>
      </c>
      <c r="C398" s="17" t="s">
        <v>1051</v>
      </c>
      <c r="D398" s="17" t="s">
        <v>363</v>
      </c>
      <c r="E398" s="17" t="s">
        <v>1052</v>
      </c>
      <c r="F398" s="19"/>
      <c r="G398" s="20">
        <v>1.0</v>
      </c>
      <c r="H398" s="21"/>
      <c r="I398" s="21">
        <v>160.0</v>
      </c>
      <c r="J398" s="22">
        <v>6.0</v>
      </c>
      <c r="K398" s="50"/>
      <c r="L398" s="21" t="str">
        <f>IF(K398&gt;0,K398*I398,"")</f>
      </c>
      <c r="M398" s="52"/>
      <c r="N398" t="str">
        <f>IF(K398&gt;0,COUNTIF($K$7:K398,"&gt;0"),"")</f>
      </c>
      <c r="O398" t="s">
        <v>1055</v>
      </c>
      <c r="P398" t="s">
        <v>1054</v>
      </c>
      <c r="Q398" t="s">
        <v>1054</v>
      </c>
    </row>
    <row r="399" spans="1:18" customHeight="1" ht="58">
      <c r="A399" s="16"/>
      <c r="B399" s="18" t="s">
        <v>1050</v>
      </c>
      <c r="C399" s="17" t="s">
        <v>1051</v>
      </c>
      <c r="D399" s="17" t="s">
        <v>134</v>
      </c>
      <c r="E399" s="17" t="s">
        <v>1052</v>
      </c>
      <c r="F399" s="19"/>
      <c r="G399" s="20">
        <v>1.0</v>
      </c>
      <c r="H399" s="21"/>
      <c r="I399" s="21">
        <v>160.0</v>
      </c>
      <c r="J399" s="22">
        <v>28.0</v>
      </c>
      <c r="K399" s="50"/>
      <c r="L399" s="21" t="str">
        <f>IF(K399&gt;0,K399*I399,"")</f>
      </c>
      <c r="M399" s="52"/>
      <c r="N399" t="str">
        <f>IF(K399&gt;0,COUNTIF($K$7:K399,"&gt;0"),"")</f>
      </c>
      <c r="O399" t="s">
        <v>1057</v>
      </c>
      <c r="P399" t="s">
        <v>1056</v>
      </c>
      <c r="Q399" t="s">
        <v>1056</v>
      </c>
    </row>
    <row r="400" spans="1:18" customHeight="1" ht="58">
      <c r="A400" s="16"/>
      <c r="B400" s="18" t="s">
        <v>1050</v>
      </c>
      <c r="C400" s="17" t="s">
        <v>1051</v>
      </c>
      <c r="D400" s="17" t="s">
        <v>85</v>
      </c>
      <c r="E400" s="17" t="s">
        <v>1052</v>
      </c>
      <c r="F400" s="19"/>
      <c r="G400" s="20">
        <v>1.0</v>
      </c>
      <c r="H400" s="21"/>
      <c r="I400" s="21">
        <v>160.0</v>
      </c>
      <c r="J400" s="22">
        <v>35.0</v>
      </c>
      <c r="K400" s="50"/>
      <c r="L400" s="21" t="str">
        <f>IF(K400&gt;0,K400*I400,"")</f>
      </c>
      <c r="M400" s="52"/>
      <c r="N400" t="str">
        <f>IF(K400&gt;0,COUNTIF($K$7:K400,"&gt;0"),"")</f>
      </c>
      <c r="O400" t="s">
        <v>1059</v>
      </c>
      <c r="P400" t="s">
        <v>1058</v>
      </c>
      <c r="Q400" t="s">
        <v>1058</v>
      </c>
    </row>
    <row r="401" spans="1:18" customHeight="1" ht="58">
      <c r="A401" s="16"/>
      <c r="B401" s="18" t="s">
        <v>1050</v>
      </c>
      <c r="C401" s="17" t="s">
        <v>1051</v>
      </c>
      <c r="D401" s="17" t="s">
        <v>91</v>
      </c>
      <c r="E401" s="17" t="s">
        <v>1052</v>
      </c>
      <c r="F401" s="19"/>
      <c r="G401" s="20">
        <v>1.0</v>
      </c>
      <c r="H401" s="21"/>
      <c r="I401" s="21">
        <v>160.0</v>
      </c>
      <c r="J401" s="22">
        <v>42.0</v>
      </c>
      <c r="K401" s="50"/>
      <c r="L401" s="21" t="str">
        <f>IF(K401&gt;0,K401*I401,"")</f>
      </c>
      <c r="M401" s="52"/>
      <c r="N401" t="str">
        <f>IF(K401&gt;0,COUNTIF($K$7:K401,"&gt;0"),"")</f>
      </c>
      <c r="O401" t="s">
        <v>1061</v>
      </c>
      <c r="P401" t="s">
        <v>1060</v>
      </c>
      <c r="Q401" t="s">
        <v>1060</v>
      </c>
    </row>
    <row r="402" spans="1:18" customHeight="1" ht="58">
      <c r="A402" s="16"/>
      <c r="B402" s="18" t="s">
        <v>1050</v>
      </c>
      <c r="C402" s="17" t="s">
        <v>1051</v>
      </c>
      <c r="D402" s="17" t="s">
        <v>93</v>
      </c>
      <c r="E402" s="17" t="s">
        <v>1052</v>
      </c>
      <c r="F402" s="19"/>
      <c r="G402" s="20">
        <v>1.0</v>
      </c>
      <c r="H402" s="21"/>
      <c r="I402" s="21">
        <v>160.0</v>
      </c>
      <c r="J402" s="22">
        <v>30.0</v>
      </c>
      <c r="K402" s="50"/>
      <c r="L402" s="21" t="str">
        <f>IF(K402&gt;0,K402*I402,"")</f>
      </c>
      <c r="M402" s="52"/>
      <c r="N402" t="str">
        <f>IF(K402&gt;0,COUNTIF($K$7:K402,"&gt;0"),"")</f>
      </c>
      <c r="O402" t="s">
        <v>1063</v>
      </c>
      <c r="P402" t="s">
        <v>1062</v>
      </c>
      <c r="Q402" t="s">
        <v>1062</v>
      </c>
    </row>
    <row r="403" spans="1:18" customHeight="1" ht="58">
      <c r="A403" s="16"/>
      <c r="B403" s="18" t="s">
        <v>1050</v>
      </c>
      <c r="C403" s="17" t="s">
        <v>1051</v>
      </c>
      <c r="D403" s="17" t="s">
        <v>89</v>
      </c>
      <c r="E403" s="17" t="s">
        <v>1052</v>
      </c>
      <c r="F403" s="19"/>
      <c r="G403" s="20">
        <v>1.0</v>
      </c>
      <c r="H403" s="21"/>
      <c r="I403" s="21">
        <v>160.0</v>
      </c>
      <c r="J403" s="22">
        <v>36.0</v>
      </c>
      <c r="K403" s="50"/>
      <c r="L403" s="21" t="str">
        <f>IF(K403&gt;0,K403*I403,"")</f>
      </c>
      <c r="M403" s="52"/>
      <c r="N403" t="str">
        <f>IF(K403&gt;0,COUNTIF($K$7:K403,"&gt;0"),"")</f>
      </c>
      <c r="O403" t="s">
        <v>1065</v>
      </c>
      <c r="P403" t="s">
        <v>1064</v>
      </c>
      <c r="Q403" t="s">
        <v>1064</v>
      </c>
    </row>
    <row r="404" spans="1:18" customHeight="1" ht="58">
      <c r="A404" s="16"/>
      <c r="B404" s="18" t="s">
        <v>1067</v>
      </c>
      <c r="C404" s="17" t="s">
        <v>1068</v>
      </c>
      <c r="D404" s="17" t="s">
        <v>134</v>
      </c>
      <c r="E404" s="17" t="s">
        <v>1069</v>
      </c>
      <c r="F404" s="19"/>
      <c r="G404" s="20">
        <v>1.0</v>
      </c>
      <c r="H404" s="21"/>
      <c r="I404" s="21">
        <v>292.0</v>
      </c>
      <c r="J404" s="22">
        <v>9.0</v>
      </c>
      <c r="K404" s="50"/>
      <c r="L404" s="21" t="str">
        <f>IF(K404&gt;0,K404*I404,"")</f>
      </c>
      <c r="M404" s="52"/>
      <c r="N404" t="str">
        <f>IF(K404&gt;0,COUNTIF($K$7:K404,"&gt;0"),"")</f>
      </c>
      <c r="O404" t="s">
        <v>1070</v>
      </c>
      <c r="P404" t="s">
        <v>1066</v>
      </c>
      <c r="Q404" t="s">
        <v>1066</v>
      </c>
    </row>
    <row r="405" spans="1:18" customHeight="1" ht="58">
      <c r="A405" s="16"/>
      <c r="B405" s="18" t="s">
        <v>1067</v>
      </c>
      <c r="C405" s="17" t="s">
        <v>1068</v>
      </c>
      <c r="D405" s="17" t="s">
        <v>91</v>
      </c>
      <c r="E405" s="17" t="s">
        <v>1069</v>
      </c>
      <c r="F405" s="19"/>
      <c r="G405" s="20">
        <v>1.0</v>
      </c>
      <c r="H405" s="21"/>
      <c r="I405" s="21">
        <v>292.0</v>
      </c>
      <c r="J405" s="22">
        <v>17.0</v>
      </c>
      <c r="K405" s="50"/>
      <c r="L405" s="21" t="str">
        <f>IF(K405&gt;0,K405*I405,"")</f>
      </c>
      <c r="M405" s="52"/>
      <c r="N405" t="str">
        <f>IF(K405&gt;0,COUNTIF($K$7:K405,"&gt;0"),"")</f>
      </c>
      <c r="O405" t="s">
        <v>1072</v>
      </c>
      <c r="P405" t="s">
        <v>1071</v>
      </c>
      <c r="Q405" t="s">
        <v>1071</v>
      </c>
    </row>
    <row r="406" spans="1:18" customHeight="1" ht="58">
      <c r="A406" s="16"/>
      <c r="B406" s="18" t="s">
        <v>1067</v>
      </c>
      <c r="C406" s="17" t="s">
        <v>1068</v>
      </c>
      <c r="D406" s="17" t="s">
        <v>85</v>
      </c>
      <c r="E406" s="17" t="s">
        <v>1069</v>
      </c>
      <c r="F406" s="19"/>
      <c r="G406" s="20">
        <v>1.0</v>
      </c>
      <c r="H406" s="21"/>
      <c r="I406" s="21">
        <v>292.0</v>
      </c>
      <c r="J406" s="22">
        <v>16.0</v>
      </c>
      <c r="K406" s="50"/>
      <c r="L406" s="21" t="str">
        <f>IF(K406&gt;0,K406*I406,"")</f>
      </c>
      <c r="M406" s="52"/>
      <c r="N406" t="str">
        <f>IF(K406&gt;0,COUNTIF($K$7:K406,"&gt;0"),"")</f>
      </c>
      <c r="O406" t="s">
        <v>1074</v>
      </c>
      <c r="P406" t="s">
        <v>1073</v>
      </c>
      <c r="Q406" t="s">
        <v>1073</v>
      </c>
    </row>
    <row r="407" spans="1:18" customHeight="1" ht="58">
      <c r="A407" s="16"/>
      <c r="B407" s="18" t="s">
        <v>1067</v>
      </c>
      <c r="C407" s="17" t="s">
        <v>1068</v>
      </c>
      <c r="D407" s="17" t="s">
        <v>93</v>
      </c>
      <c r="E407" s="17" t="s">
        <v>1069</v>
      </c>
      <c r="F407" s="19"/>
      <c r="G407" s="20">
        <v>1.0</v>
      </c>
      <c r="H407" s="21"/>
      <c r="I407" s="21">
        <v>292.0</v>
      </c>
      <c r="J407" s="22">
        <v>15.0</v>
      </c>
      <c r="K407" s="50"/>
      <c r="L407" s="21" t="str">
        <f>IF(K407&gt;0,K407*I407,"")</f>
      </c>
      <c r="M407" s="52"/>
      <c r="N407" t="str">
        <f>IF(K407&gt;0,COUNTIF($K$7:K407,"&gt;0"),"")</f>
      </c>
      <c r="O407" t="s">
        <v>1076</v>
      </c>
      <c r="P407" t="s">
        <v>1075</v>
      </c>
      <c r="Q407" t="s">
        <v>1075</v>
      </c>
    </row>
    <row r="408" spans="1:18" customHeight="1" ht="58">
      <c r="A408" s="16"/>
      <c r="B408" s="18" t="s">
        <v>1067</v>
      </c>
      <c r="C408" s="17" t="s">
        <v>1068</v>
      </c>
      <c r="D408" s="17" t="s">
        <v>40</v>
      </c>
      <c r="E408" s="17" t="s">
        <v>1069</v>
      </c>
      <c r="F408" s="19"/>
      <c r="G408" s="20">
        <v>1.0</v>
      </c>
      <c r="H408" s="21"/>
      <c r="I408" s="21">
        <v>292.0</v>
      </c>
      <c r="J408" s="22">
        <v>4.0</v>
      </c>
      <c r="K408" s="50"/>
      <c r="L408" s="21" t="str">
        <f>IF(K408&gt;0,K408*I408,"")</f>
      </c>
      <c r="M408" s="52"/>
      <c r="N408" t="str">
        <f>IF(K408&gt;0,COUNTIF($K$7:K408,"&gt;0"),"")</f>
      </c>
      <c r="O408" t="s">
        <v>1078</v>
      </c>
      <c r="P408" t="s">
        <v>1077</v>
      </c>
      <c r="Q408" t="s">
        <v>1077</v>
      </c>
    </row>
    <row r="409" spans="1:18" customHeight="1" ht="58">
      <c r="A409" s="16"/>
      <c r="B409" s="18" t="s">
        <v>1067</v>
      </c>
      <c r="C409" s="17" t="s">
        <v>1068</v>
      </c>
      <c r="D409" s="17" t="s">
        <v>89</v>
      </c>
      <c r="E409" s="17" t="s">
        <v>1069</v>
      </c>
      <c r="F409" s="19"/>
      <c r="G409" s="20">
        <v>1.0</v>
      </c>
      <c r="H409" s="21"/>
      <c r="I409" s="21">
        <v>292.0</v>
      </c>
      <c r="J409" s="22">
        <v>16.0</v>
      </c>
      <c r="K409" s="50"/>
      <c r="L409" s="21" t="str">
        <f>IF(K409&gt;0,K409*I409,"")</f>
      </c>
      <c r="M409" s="52"/>
      <c r="N409" t="str">
        <f>IF(K409&gt;0,COUNTIF($K$7:K409,"&gt;0"),"")</f>
      </c>
      <c r="O409" t="s">
        <v>1080</v>
      </c>
      <c r="P409" t="s">
        <v>1079</v>
      </c>
      <c r="Q409" t="s">
        <v>1079</v>
      </c>
    </row>
    <row r="410" spans="1:18" customHeight="1" ht="58">
      <c r="A410" s="16"/>
      <c r="B410" s="18" t="s">
        <v>1067</v>
      </c>
      <c r="C410" s="17" t="s">
        <v>1068</v>
      </c>
      <c r="D410" s="17" t="s">
        <v>193</v>
      </c>
      <c r="E410" s="17" t="s">
        <v>1069</v>
      </c>
      <c r="F410" s="19"/>
      <c r="G410" s="20">
        <v>1.0</v>
      </c>
      <c r="H410" s="21"/>
      <c r="I410" s="21">
        <v>292.0</v>
      </c>
      <c r="J410" s="22">
        <v>1.0</v>
      </c>
      <c r="K410" s="50"/>
      <c r="L410" s="21" t="str">
        <f>IF(K410&gt;0,K410*I410,"")</f>
      </c>
      <c r="M410" s="52"/>
      <c r="N410" t="str">
        <f>IF(K410&gt;0,COUNTIF($K$7:K410,"&gt;0"),"")</f>
      </c>
      <c r="O410" t="s">
        <v>1082</v>
      </c>
      <c r="P410" t="s">
        <v>1081</v>
      </c>
      <c r="Q410" t="s">
        <v>1081</v>
      </c>
    </row>
    <row r="411" spans="1:18" customHeight="1" ht="58">
      <c r="A411" s="16"/>
      <c r="B411" s="18" t="s">
        <v>1067</v>
      </c>
      <c r="C411" s="17" t="s">
        <v>1068</v>
      </c>
      <c r="D411" s="17" t="s">
        <v>205</v>
      </c>
      <c r="E411" s="17" t="s">
        <v>1069</v>
      </c>
      <c r="F411" s="19"/>
      <c r="G411" s="20">
        <v>1.0</v>
      </c>
      <c r="H411" s="21"/>
      <c r="I411" s="21">
        <v>292.0</v>
      </c>
      <c r="J411" s="22">
        <v>11.0</v>
      </c>
      <c r="K411" s="50"/>
      <c r="L411" s="21" t="str">
        <f>IF(K411&gt;0,K411*I411,"")</f>
      </c>
      <c r="M411" s="52"/>
      <c r="N411" t="str">
        <f>IF(K411&gt;0,COUNTIF($K$7:K411,"&gt;0"),"")</f>
      </c>
      <c r="O411" t="s">
        <v>1084</v>
      </c>
      <c r="P411" t="s">
        <v>1083</v>
      </c>
      <c r="Q411" t="s">
        <v>1083</v>
      </c>
    </row>
    <row r="412" spans="1:18" customHeight="1" ht="58">
      <c r="A412" s="16"/>
      <c r="B412" s="18" t="s">
        <v>1086</v>
      </c>
      <c r="C412" s="17" t="s">
        <v>1087</v>
      </c>
      <c r="D412" s="17" t="s">
        <v>512</v>
      </c>
      <c r="E412" s="17" t="s">
        <v>183</v>
      </c>
      <c r="F412" s="19"/>
      <c r="G412" s="20">
        <v>1.0</v>
      </c>
      <c r="H412" s="21"/>
      <c r="I412" s="21">
        <v>238.0</v>
      </c>
      <c r="J412" s="22">
        <v>6.0</v>
      </c>
      <c r="K412" s="50"/>
      <c r="L412" s="21" t="str">
        <f>IF(K412&gt;0,K412*I412,"")</f>
      </c>
      <c r="M412" s="52"/>
      <c r="N412" t="str">
        <f>IF(K412&gt;0,COUNTIF($K$7:K412,"&gt;0"),"")</f>
      </c>
      <c r="O412" t="s">
        <v>1088</v>
      </c>
      <c r="P412" t="s">
        <v>1085</v>
      </c>
      <c r="Q412" t="s">
        <v>1085</v>
      </c>
    </row>
    <row r="413" spans="1:18" customHeight="1" ht="58">
      <c r="A413" s="16"/>
      <c r="B413" s="18" t="s">
        <v>1086</v>
      </c>
      <c r="C413" s="17" t="s">
        <v>1087</v>
      </c>
      <c r="D413" s="17" t="s">
        <v>505</v>
      </c>
      <c r="E413" s="17" t="s">
        <v>183</v>
      </c>
      <c r="F413" s="19"/>
      <c r="G413" s="20">
        <v>1.0</v>
      </c>
      <c r="H413" s="21"/>
      <c r="I413" s="21">
        <v>238.0</v>
      </c>
      <c r="J413" s="22">
        <v>10.0</v>
      </c>
      <c r="K413" s="50"/>
      <c r="L413" s="21" t="str">
        <f>IF(K413&gt;0,K413*I413,"")</f>
      </c>
      <c r="M413" s="52"/>
      <c r="N413" t="str">
        <f>IF(K413&gt;0,COUNTIF($K$7:K413,"&gt;0"),"")</f>
      </c>
      <c r="O413" t="s">
        <v>1090</v>
      </c>
      <c r="P413" t="s">
        <v>1089</v>
      </c>
      <c r="Q413" t="s">
        <v>1089</v>
      </c>
    </row>
    <row r="414" spans="1:18" customHeight="1" ht="58">
      <c r="A414" s="16"/>
      <c r="B414" s="18" t="s">
        <v>1092</v>
      </c>
      <c r="C414" s="17" t="s">
        <v>1087</v>
      </c>
      <c r="D414" s="17" t="s">
        <v>515</v>
      </c>
      <c r="E414" s="17" t="s">
        <v>509</v>
      </c>
      <c r="F414" s="19"/>
      <c r="G414" s="20">
        <v>1.0</v>
      </c>
      <c r="H414" s="21"/>
      <c r="I414" s="21">
        <v>324.0</v>
      </c>
      <c r="J414" s="22">
        <v>2.0</v>
      </c>
      <c r="K414" s="50"/>
      <c r="L414" s="21" t="str">
        <f>IF(K414&gt;0,K414*I414,"")</f>
      </c>
      <c r="M414" s="52"/>
      <c r="N414" t="str">
        <f>IF(K414&gt;0,COUNTIF($K$7:K414,"&gt;0"),"")</f>
      </c>
      <c r="O414" t="s">
        <v>1093</v>
      </c>
      <c r="P414" t="s">
        <v>1091</v>
      </c>
      <c r="Q414" t="s">
        <v>1091</v>
      </c>
    </row>
    <row r="415" spans="1:18" customHeight="1" ht="58">
      <c r="A415" s="16"/>
      <c r="B415" s="18" t="s">
        <v>1092</v>
      </c>
      <c r="C415" s="17" t="s">
        <v>1087</v>
      </c>
      <c r="D415" s="17" t="s">
        <v>505</v>
      </c>
      <c r="E415" s="17" t="s">
        <v>509</v>
      </c>
      <c r="F415" s="19"/>
      <c r="G415" s="20">
        <v>1.0</v>
      </c>
      <c r="H415" s="21"/>
      <c r="I415" s="21">
        <v>353.0</v>
      </c>
      <c r="J415" s="22">
        <v>13.0</v>
      </c>
      <c r="K415" s="50"/>
      <c r="L415" s="21" t="str">
        <f>IF(K415&gt;0,K415*I415,"")</f>
      </c>
      <c r="M415" s="52"/>
      <c r="N415" t="str">
        <f>IF(K415&gt;0,COUNTIF($K$7:K415,"&gt;0"),"")</f>
      </c>
      <c r="O415" t="s">
        <v>1095</v>
      </c>
      <c r="P415" t="s">
        <v>1094</v>
      </c>
      <c r="Q415" t="s">
        <v>1094</v>
      </c>
    </row>
    <row r="416" spans="1:18" customHeight="1" ht="58">
      <c r="A416" s="16"/>
      <c r="B416" s="18" t="s">
        <v>1097</v>
      </c>
      <c r="C416" s="17" t="s">
        <v>1098</v>
      </c>
      <c r="D416" s="17" t="s">
        <v>1099</v>
      </c>
      <c r="E416" s="17" t="s">
        <v>345</v>
      </c>
      <c r="F416" s="19"/>
      <c r="G416" s="20">
        <v>1.0</v>
      </c>
      <c r="H416" s="21"/>
      <c r="I416" s="21">
        <v>176.0</v>
      </c>
      <c r="J416" s="22">
        <v>7.0</v>
      </c>
      <c r="K416" s="50"/>
      <c r="L416" s="21" t="str">
        <f>IF(K416&gt;0,K416*I416,"")</f>
      </c>
      <c r="M416" s="52"/>
      <c r="N416" t="str">
        <f>IF(K416&gt;0,COUNTIF($K$7:K416,"&gt;0"),"")</f>
      </c>
      <c r="O416" t="s">
        <v>1100</v>
      </c>
      <c r="P416" t="s">
        <v>1096</v>
      </c>
      <c r="Q416" t="s">
        <v>1096</v>
      </c>
    </row>
    <row r="417" spans="1:18" customHeight="1" ht="58">
      <c r="A417" s="16"/>
      <c r="B417" s="18" t="s">
        <v>1097</v>
      </c>
      <c r="C417" s="17" t="s">
        <v>1098</v>
      </c>
      <c r="D417" s="17" t="s">
        <v>1102</v>
      </c>
      <c r="E417" s="17" t="s">
        <v>345</v>
      </c>
      <c r="F417" s="19"/>
      <c r="G417" s="20">
        <v>1.0</v>
      </c>
      <c r="H417" s="21"/>
      <c r="I417" s="21">
        <v>176.0</v>
      </c>
      <c r="J417" s="22">
        <v>60.0</v>
      </c>
      <c r="K417" s="50"/>
      <c r="L417" s="21" t="str">
        <f>IF(K417&gt;0,K417*I417,"")</f>
      </c>
      <c r="M417" s="52"/>
      <c r="N417" t="str">
        <f>IF(K417&gt;0,COUNTIF($K$7:K417,"&gt;0"),"")</f>
      </c>
      <c r="O417" t="s">
        <v>1103</v>
      </c>
      <c r="P417" t="s">
        <v>1101</v>
      </c>
      <c r="Q417" t="s">
        <v>1101</v>
      </c>
    </row>
    <row r="418" spans="1:18" customHeight="1" ht="58">
      <c r="A418" s="16"/>
      <c r="B418" s="18" t="s">
        <v>1097</v>
      </c>
      <c r="C418" s="17" t="s">
        <v>1098</v>
      </c>
      <c r="D418" s="17" t="s">
        <v>234</v>
      </c>
      <c r="E418" s="17" t="s">
        <v>345</v>
      </c>
      <c r="F418" s="19"/>
      <c r="G418" s="20">
        <v>1.0</v>
      </c>
      <c r="H418" s="21"/>
      <c r="I418" s="21">
        <v>176.0</v>
      </c>
      <c r="J418" s="22">
        <v>40.0</v>
      </c>
      <c r="K418" s="50"/>
      <c r="L418" s="21" t="str">
        <f>IF(K418&gt;0,K418*I418,"")</f>
      </c>
      <c r="M418" s="52"/>
      <c r="N418" t="str">
        <f>IF(K418&gt;0,COUNTIF($K$7:K418,"&gt;0"),"")</f>
      </c>
      <c r="O418" t="s">
        <v>1105</v>
      </c>
      <c r="P418" t="s">
        <v>1104</v>
      </c>
      <c r="Q418" t="s">
        <v>1104</v>
      </c>
    </row>
    <row r="419" spans="1:18" customHeight="1" ht="58">
      <c r="A419" s="16"/>
      <c r="B419" s="18" t="s">
        <v>1107</v>
      </c>
      <c r="C419" s="17" t="s">
        <v>1108</v>
      </c>
      <c r="D419" s="17" t="s">
        <v>302</v>
      </c>
      <c r="E419" s="17" t="s">
        <v>1109</v>
      </c>
      <c r="F419" s="19"/>
      <c r="G419" s="20">
        <v>1.0</v>
      </c>
      <c r="H419" s="21"/>
      <c r="I419" s="21">
        <v>1617.0</v>
      </c>
      <c r="J419" s="22">
        <v>4.0</v>
      </c>
      <c r="K419" s="50"/>
      <c r="L419" s="21" t="str">
        <f>IF(K419&gt;0,K419*I419,"")</f>
      </c>
      <c r="M419" s="52"/>
      <c r="N419" t="str">
        <f>IF(K419&gt;0,COUNTIF($K$7:K419,"&gt;0"),"")</f>
      </c>
      <c r="O419" t="s">
        <v>1110</v>
      </c>
      <c r="P419" t="s">
        <v>1106</v>
      </c>
      <c r="Q419" t="s">
        <v>1106</v>
      </c>
    </row>
    <row r="420" spans="1:18" customHeight="1" ht="58">
      <c r="A420" s="16"/>
      <c r="B420" s="18" t="s">
        <v>1107</v>
      </c>
      <c r="C420" s="17" t="s">
        <v>1108</v>
      </c>
      <c r="D420" s="17" t="s">
        <v>85</v>
      </c>
      <c r="E420" s="17" t="s">
        <v>1109</v>
      </c>
      <c r="F420" s="19"/>
      <c r="G420" s="20">
        <v>1.0</v>
      </c>
      <c r="H420" s="21"/>
      <c r="I420" s="21">
        <v>1617.0</v>
      </c>
      <c r="J420" s="22">
        <v>1.0</v>
      </c>
      <c r="K420" s="50"/>
      <c r="L420" s="21" t="str">
        <f>IF(K420&gt;0,K420*I420,"")</f>
      </c>
      <c r="M420" s="52"/>
      <c r="N420" t="str">
        <f>IF(K420&gt;0,COUNTIF($K$7:K420,"&gt;0"),"")</f>
      </c>
      <c r="O420" t="s">
        <v>1112</v>
      </c>
      <c r="P420" t="s">
        <v>1111</v>
      </c>
      <c r="Q420" t="s">
        <v>1111</v>
      </c>
    </row>
    <row r="421" spans="1:18" customHeight="1" ht="58">
      <c r="A421" s="16"/>
      <c r="B421" s="18" t="s">
        <v>1114</v>
      </c>
      <c r="C421" s="17" t="s">
        <v>1108</v>
      </c>
      <c r="D421" s="17" t="s">
        <v>302</v>
      </c>
      <c r="E421" s="17" t="s">
        <v>1115</v>
      </c>
      <c r="F421" s="19"/>
      <c r="G421" s="20">
        <v>1.0</v>
      </c>
      <c r="H421" s="21"/>
      <c r="I421" s="21">
        <v>2536.0</v>
      </c>
      <c r="J421" s="22">
        <v>6.0</v>
      </c>
      <c r="K421" s="50"/>
      <c r="L421" s="21" t="str">
        <f>IF(K421&gt;0,K421*I421,"")</f>
      </c>
      <c r="M421" s="52"/>
      <c r="N421" t="str">
        <f>IF(K421&gt;0,COUNTIF($K$7:K421,"&gt;0"),"")</f>
      </c>
      <c r="O421" t="s">
        <v>1116</v>
      </c>
      <c r="P421" t="s">
        <v>1113</v>
      </c>
      <c r="Q421" t="s">
        <v>1113</v>
      </c>
    </row>
    <row r="422" spans="1:18" customHeight="1" ht="58">
      <c r="A422" s="16"/>
      <c r="B422" s="18" t="s">
        <v>1114</v>
      </c>
      <c r="C422" s="17" t="s">
        <v>1108</v>
      </c>
      <c r="D422" s="17" t="s">
        <v>85</v>
      </c>
      <c r="E422" s="17" t="s">
        <v>1115</v>
      </c>
      <c r="F422" s="19"/>
      <c r="G422" s="20">
        <v>1.0</v>
      </c>
      <c r="H422" s="21"/>
      <c r="I422" s="21">
        <v>2536.0</v>
      </c>
      <c r="J422" s="22">
        <v>6.0</v>
      </c>
      <c r="K422" s="50"/>
      <c r="L422" s="21" t="str">
        <f>IF(K422&gt;0,K422*I422,"")</f>
      </c>
      <c r="M422" s="52"/>
      <c r="N422" t="str">
        <f>IF(K422&gt;0,COUNTIF($K$7:K422,"&gt;0"),"")</f>
      </c>
      <c r="O422" t="s">
        <v>1118</v>
      </c>
      <c r="P422" t="s">
        <v>1117</v>
      </c>
      <c r="Q422" t="s">
        <v>1117</v>
      </c>
    </row>
    <row r="423" spans="1:18" customHeight="1" ht="58">
      <c r="A423" s="16"/>
      <c r="B423" s="18" t="s">
        <v>1120</v>
      </c>
      <c r="C423" s="17" t="s">
        <v>1121</v>
      </c>
      <c r="D423" s="17"/>
      <c r="E423" s="17"/>
      <c r="F423" s="19"/>
      <c r="G423" s="20">
        <v>1.0</v>
      </c>
      <c r="H423" s="21"/>
      <c r="I423" s="21">
        <v>2387.0</v>
      </c>
      <c r="J423" s="22">
        <v>10.0</v>
      </c>
      <c r="K423" s="50"/>
      <c r="L423" s="21" t="str">
        <f>IF(K423&gt;0,K423*I423,"")</f>
      </c>
      <c r="M423" s="52"/>
      <c r="N423" t="str">
        <f>IF(K423&gt;0,COUNTIF($K$7:K423,"&gt;0"),"")</f>
      </c>
      <c r="O423" t="s">
        <v>1122</v>
      </c>
      <c r="P423" t="s">
        <v>1119</v>
      </c>
      <c r="Q423" t="s">
        <v>1119</v>
      </c>
    </row>
    <row r="424" spans="1:18" customHeight="1" ht="58">
      <c r="A424" s="16"/>
      <c r="B424" s="18" t="s">
        <v>1120</v>
      </c>
      <c r="C424" s="17" t="s">
        <v>1124</v>
      </c>
      <c r="D424" s="17"/>
      <c r="E424" s="17"/>
      <c r="F424" s="19"/>
      <c r="G424" s="20">
        <v>1.0</v>
      </c>
      <c r="H424" s="21"/>
      <c r="I424" s="21">
        <v>2387.0</v>
      </c>
      <c r="J424" s="22">
        <v>12.0</v>
      </c>
      <c r="K424" s="50"/>
      <c r="L424" s="21" t="str">
        <f>IF(K424&gt;0,K424*I424,"")</f>
      </c>
      <c r="M424" s="52"/>
      <c r="N424" t="str">
        <f>IF(K424&gt;0,COUNTIF($K$7:K424,"&gt;0"),"")</f>
      </c>
      <c r="O424" t="s">
        <v>1125</v>
      </c>
      <c r="P424" t="s">
        <v>1123</v>
      </c>
      <c r="Q424" t="s">
        <v>1123</v>
      </c>
    </row>
    <row r="425" spans="1:18" customHeight="1" ht="58">
      <c r="A425" s="16"/>
      <c r="B425" s="18" t="s">
        <v>1120</v>
      </c>
      <c r="C425" s="17" t="s">
        <v>1127</v>
      </c>
      <c r="D425" s="17"/>
      <c r="E425" s="17"/>
      <c r="F425" s="19"/>
      <c r="G425" s="20">
        <v>1.0</v>
      </c>
      <c r="H425" s="21"/>
      <c r="I425" s="21">
        <v>2387.0</v>
      </c>
      <c r="J425" s="22">
        <v>10.0</v>
      </c>
      <c r="K425" s="50"/>
      <c r="L425" s="21" t="str">
        <f>IF(K425&gt;0,K425*I425,"")</f>
      </c>
      <c r="M425" s="52"/>
      <c r="N425" t="str">
        <f>IF(K425&gt;0,COUNTIF($K$7:K425,"&gt;0"),"")</f>
      </c>
      <c r="O425" t="s">
        <v>1128</v>
      </c>
      <c r="P425" t="s">
        <v>1126</v>
      </c>
      <c r="Q425" t="s">
        <v>1126</v>
      </c>
    </row>
    <row r="426" spans="1:18" customHeight="1" ht="58">
      <c r="A426" s="16"/>
      <c r="B426" s="18" t="s">
        <v>1120</v>
      </c>
      <c r="C426" s="17" t="s">
        <v>1130</v>
      </c>
      <c r="D426" s="17"/>
      <c r="E426" s="17"/>
      <c r="F426" s="19"/>
      <c r="G426" s="20">
        <v>1.0</v>
      </c>
      <c r="H426" s="21"/>
      <c r="I426" s="21">
        <v>2387.0</v>
      </c>
      <c r="J426" s="22">
        <v>15.0</v>
      </c>
      <c r="K426" s="50"/>
      <c r="L426" s="21" t="str">
        <f>IF(K426&gt;0,K426*I426,"")</f>
      </c>
      <c r="M426" s="52"/>
      <c r="N426" t="str">
        <f>IF(K426&gt;0,COUNTIF($K$7:K426,"&gt;0"),"")</f>
      </c>
      <c r="O426" t="s">
        <v>1131</v>
      </c>
      <c r="P426" t="s">
        <v>1129</v>
      </c>
      <c r="Q426" t="s">
        <v>1129</v>
      </c>
    </row>
    <row r="427" spans="1:18" customHeight="1" ht="58">
      <c r="A427" s="16"/>
      <c r="B427" s="18" t="s">
        <v>1120</v>
      </c>
      <c r="C427" s="17" t="s">
        <v>1133</v>
      </c>
      <c r="D427" s="17"/>
      <c r="E427" s="17"/>
      <c r="F427" s="19"/>
      <c r="G427" s="20">
        <v>1.0</v>
      </c>
      <c r="H427" s="21"/>
      <c r="I427" s="21">
        <v>2387.0</v>
      </c>
      <c r="J427" s="22">
        <v>11.0</v>
      </c>
      <c r="K427" s="50"/>
      <c r="L427" s="21" t="str">
        <f>IF(K427&gt;0,K427*I427,"")</f>
      </c>
      <c r="M427" s="52"/>
      <c r="N427" t="str">
        <f>IF(K427&gt;0,COUNTIF($K$7:K427,"&gt;0"),"")</f>
      </c>
      <c r="O427" t="s">
        <v>1134</v>
      </c>
      <c r="P427" t="s">
        <v>1132</v>
      </c>
      <c r="Q427" t="s">
        <v>1132</v>
      </c>
    </row>
    <row r="428" spans="1:18" customHeight="1" ht="58">
      <c r="A428" s="16"/>
      <c r="B428" s="18" t="s">
        <v>1120</v>
      </c>
      <c r="C428" s="17" t="s">
        <v>1136</v>
      </c>
      <c r="D428" s="17"/>
      <c r="E428" s="17"/>
      <c r="F428" s="19"/>
      <c r="G428" s="20">
        <v>1.0</v>
      </c>
      <c r="H428" s="21"/>
      <c r="I428" s="21">
        <v>2387.0</v>
      </c>
      <c r="J428" s="22">
        <v>15.0</v>
      </c>
      <c r="K428" s="50"/>
      <c r="L428" s="21" t="str">
        <f>IF(K428&gt;0,K428*I428,"")</f>
      </c>
      <c r="M428" s="52"/>
      <c r="N428" t="str">
        <f>IF(K428&gt;0,COUNTIF($K$7:K428,"&gt;0"),"")</f>
      </c>
      <c r="O428" t="s">
        <v>1137</v>
      </c>
      <c r="P428" t="s">
        <v>1135</v>
      </c>
      <c r="Q428" t="s">
        <v>1135</v>
      </c>
    </row>
    <row r="429" spans="1:18" customHeight="1" ht="58">
      <c r="A429" s="16"/>
      <c r="B429" s="18" t="s">
        <v>1139</v>
      </c>
      <c r="C429" s="17" t="s">
        <v>1140</v>
      </c>
      <c r="D429" s="17" t="s">
        <v>1141</v>
      </c>
      <c r="E429" s="17" t="s">
        <v>1142</v>
      </c>
      <c r="F429" s="19"/>
      <c r="G429" s="20">
        <v>1.0</v>
      </c>
      <c r="H429" s="21"/>
      <c r="I429" s="21">
        <v>120.0</v>
      </c>
      <c r="J429" s="22">
        <v>13.0</v>
      </c>
      <c r="K429" s="50"/>
      <c r="L429" s="21" t="str">
        <f>IF(K429&gt;0,K429*I429,"")</f>
      </c>
      <c r="M429" s="52"/>
      <c r="N429" t="str">
        <f>IF(K429&gt;0,COUNTIF($K$7:K429,"&gt;0"),"")</f>
      </c>
      <c r="O429" t="s">
        <v>1143</v>
      </c>
      <c r="P429" t="s">
        <v>1138</v>
      </c>
      <c r="Q429" t="s">
        <v>1138</v>
      </c>
    </row>
    <row r="430" spans="1:18" customHeight="1" ht="58">
      <c r="A430" s="16"/>
      <c r="B430" s="18" t="s">
        <v>1145</v>
      </c>
      <c r="C430" s="17" t="s">
        <v>1140</v>
      </c>
      <c r="D430" s="17" t="s">
        <v>1141</v>
      </c>
      <c r="E430" s="17" t="s">
        <v>1146</v>
      </c>
      <c r="F430" s="19"/>
      <c r="G430" s="20">
        <v>1.0</v>
      </c>
      <c r="H430" s="21"/>
      <c r="I430" s="21">
        <v>110.0</v>
      </c>
      <c r="J430" s="22">
        <v>10.0</v>
      </c>
      <c r="K430" s="50"/>
      <c r="L430" s="21" t="str">
        <f>IF(K430&gt;0,K430*I430,"")</f>
      </c>
      <c r="M430" s="52"/>
      <c r="N430" t="str">
        <f>IF(K430&gt;0,COUNTIF($K$7:K430,"&gt;0"),"")</f>
      </c>
      <c r="O430" t="s">
        <v>1147</v>
      </c>
      <c r="P430" t="s">
        <v>1144</v>
      </c>
      <c r="Q430" t="s">
        <v>1144</v>
      </c>
    </row>
    <row r="431" spans="1:18" customHeight="1" ht="58">
      <c r="A431" s="16"/>
      <c r="B431" s="18" t="s">
        <v>1149</v>
      </c>
      <c r="C431" s="17" t="s">
        <v>1150</v>
      </c>
      <c r="D431" s="17" t="s">
        <v>1151</v>
      </c>
      <c r="E431" s="17" t="s">
        <v>1152</v>
      </c>
      <c r="F431" s="19"/>
      <c r="G431" s="20">
        <v>1.0</v>
      </c>
      <c r="H431" s="21"/>
      <c r="I431" s="21">
        <v>411.0</v>
      </c>
      <c r="J431" s="22">
        <v>4.0</v>
      </c>
      <c r="K431" s="50"/>
      <c r="L431" s="21" t="str">
        <f>IF(K431&gt;0,K431*I431,"")</f>
      </c>
      <c r="M431" s="52"/>
      <c r="N431" t="str">
        <f>IF(K431&gt;0,COUNTIF($K$7:K431,"&gt;0"),"")</f>
      </c>
      <c r="O431" t="s">
        <v>1153</v>
      </c>
      <c r="P431" t="s">
        <v>1148</v>
      </c>
      <c r="Q431" t="s">
        <v>1148</v>
      </c>
    </row>
    <row r="432" spans="1:18" customHeight="1" ht="58">
      <c r="A432" s="16"/>
      <c r="B432" s="18" t="s">
        <v>1155</v>
      </c>
      <c r="C432" s="17" t="s">
        <v>1150</v>
      </c>
      <c r="D432" s="17" t="s">
        <v>1156</v>
      </c>
      <c r="E432" s="17" t="s">
        <v>1152</v>
      </c>
      <c r="F432" s="19"/>
      <c r="G432" s="20">
        <v>1.0</v>
      </c>
      <c r="H432" s="21"/>
      <c r="I432" s="21">
        <v>411.0</v>
      </c>
      <c r="J432" s="22">
        <v>5.0</v>
      </c>
      <c r="K432" s="50"/>
      <c r="L432" s="21" t="str">
        <f>IF(K432&gt;0,K432*I432,"")</f>
      </c>
      <c r="M432" s="52"/>
      <c r="N432" t="str">
        <f>IF(K432&gt;0,COUNTIF($K$7:K432,"&gt;0"),"")</f>
      </c>
      <c r="O432" t="s">
        <v>1157</v>
      </c>
      <c r="P432" t="s">
        <v>1154</v>
      </c>
      <c r="Q432" t="s">
        <v>1154</v>
      </c>
    </row>
    <row r="433" spans="1:18" customHeight="1" ht="58">
      <c r="A433" s="16"/>
      <c r="B433" s="18" t="s">
        <v>1159</v>
      </c>
      <c r="C433" s="17" t="s">
        <v>1150</v>
      </c>
      <c r="D433" s="17" t="s">
        <v>1160</v>
      </c>
      <c r="E433" s="17" t="s">
        <v>1152</v>
      </c>
      <c r="F433" s="19"/>
      <c r="G433" s="20">
        <v>1.0</v>
      </c>
      <c r="H433" s="21"/>
      <c r="I433" s="21">
        <v>411.0</v>
      </c>
      <c r="J433" s="22">
        <v>11.0</v>
      </c>
      <c r="K433" s="50"/>
      <c r="L433" s="21" t="str">
        <f>IF(K433&gt;0,K433*I433,"")</f>
      </c>
      <c r="M433" s="52"/>
      <c r="N433" t="str">
        <f>IF(K433&gt;0,COUNTIF($K$7:K433,"&gt;0"),"")</f>
      </c>
      <c r="O433" t="s">
        <v>1161</v>
      </c>
      <c r="P433" t="s">
        <v>1158</v>
      </c>
      <c r="Q433" t="s">
        <v>1158</v>
      </c>
    </row>
    <row r="434" spans="1:18" customHeight="1" ht="58">
      <c r="A434" s="16"/>
      <c r="B434" s="18" t="s">
        <v>1163</v>
      </c>
      <c r="C434" s="17" t="s">
        <v>1150</v>
      </c>
      <c r="D434" s="17" t="s">
        <v>1164</v>
      </c>
      <c r="E434" s="17" t="s">
        <v>1152</v>
      </c>
      <c r="F434" s="19"/>
      <c r="G434" s="20">
        <v>1.0</v>
      </c>
      <c r="H434" s="21"/>
      <c r="I434" s="21">
        <v>411.0</v>
      </c>
      <c r="J434" s="22">
        <v>8.0</v>
      </c>
      <c r="K434" s="50"/>
      <c r="L434" s="21" t="str">
        <f>IF(K434&gt;0,K434*I434,"")</f>
      </c>
      <c r="M434" s="52"/>
      <c r="N434" t="str">
        <f>IF(K434&gt;0,COUNTIF($K$7:K434,"&gt;0"),"")</f>
      </c>
      <c r="O434" t="s">
        <v>1165</v>
      </c>
      <c r="P434" t="s">
        <v>1162</v>
      </c>
      <c r="Q434" t="s">
        <v>1162</v>
      </c>
    </row>
    <row r="435" spans="1:18" customHeight="1" ht="58">
      <c r="A435" s="16"/>
      <c r="B435" s="18" t="s">
        <v>1167</v>
      </c>
      <c r="C435" s="17" t="s">
        <v>1150</v>
      </c>
      <c r="D435" s="17" t="s">
        <v>1168</v>
      </c>
      <c r="E435" s="17" t="s">
        <v>1152</v>
      </c>
      <c r="F435" s="19"/>
      <c r="G435" s="20">
        <v>1.0</v>
      </c>
      <c r="H435" s="21"/>
      <c r="I435" s="21">
        <v>360.0</v>
      </c>
      <c r="J435" s="22">
        <v>13.0</v>
      </c>
      <c r="K435" s="50"/>
      <c r="L435" s="21" t="str">
        <f>IF(K435&gt;0,K435*I435,"")</f>
      </c>
      <c r="M435" s="52"/>
      <c r="N435" t="str">
        <f>IF(K435&gt;0,COUNTIF($K$7:K435,"&gt;0"),"")</f>
      </c>
      <c r="O435" t="s">
        <v>1169</v>
      </c>
      <c r="P435" t="s">
        <v>1166</v>
      </c>
      <c r="Q435" t="s">
        <v>1166</v>
      </c>
    </row>
    <row r="436" spans="1:18" customHeight="1" ht="58">
      <c r="A436" s="16"/>
      <c r="B436" s="18" t="s">
        <v>1171</v>
      </c>
      <c r="C436" s="17" t="s">
        <v>1150</v>
      </c>
      <c r="D436" s="17" t="s">
        <v>1172</v>
      </c>
      <c r="E436" s="17" t="s">
        <v>1152</v>
      </c>
      <c r="F436" s="19"/>
      <c r="G436" s="20">
        <v>1.0</v>
      </c>
      <c r="H436" s="21"/>
      <c r="I436" s="21">
        <v>411.0</v>
      </c>
      <c r="J436" s="22">
        <v>10.0</v>
      </c>
      <c r="K436" s="50"/>
      <c r="L436" s="21" t="str">
        <f>IF(K436&gt;0,K436*I436,"")</f>
      </c>
      <c r="M436" s="52"/>
      <c r="N436" t="str">
        <f>IF(K436&gt;0,COUNTIF($K$7:K436,"&gt;0"),"")</f>
      </c>
      <c r="O436" t="s">
        <v>1173</v>
      </c>
      <c r="P436" t="s">
        <v>1170</v>
      </c>
      <c r="Q436" t="s">
        <v>1170</v>
      </c>
    </row>
    <row r="437" spans="1:18" customHeight="1" ht="58">
      <c r="A437" s="16"/>
      <c r="B437" s="18" t="s">
        <v>1175</v>
      </c>
      <c r="C437" s="17" t="s">
        <v>1176</v>
      </c>
      <c r="D437" s="17"/>
      <c r="E437" s="17"/>
      <c r="F437" s="19"/>
      <c r="G437" s="20">
        <v>1.0</v>
      </c>
      <c r="H437" s="21"/>
      <c r="I437" s="21">
        <v>7392.0</v>
      </c>
      <c r="J437" s="22">
        <v>1.0</v>
      </c>
      <c r="K437" s="50"/>
      <c r="L437" s="21" t="str">
        <f>IF(K437&gt;0,K437*I437,"")</f>
      </c>
      <c r="M437" s="52"/>
      <c r="N437" t="str">
        <f>IF(K437&gt;0,COUNTIF($K$7:K437,"&gt;0"),"")</f>
      </c>
      <c r="O437" t="s">
        <v>1177</v>
      </c>
      <c r="P437" t="s">
        <v>1174</v>
      </c>
      <c r="Q437" t="s">
        <v>1174</v>
      </c>
    </row>
    <row r="438" spans="1:18" customHeight="1" ht="58">
      <c r="A438" s="16"/>
      <c r="B438" s="18" t="s">
        <v>1179</v>
      </c>
      <c r="C438" s="17" t="s">
        <v>1180</v>
      </c>
      <c r="D438" s="17" t="s">
        <v>1181</v>
      </c>
      <c r="E438" s="17" t="s">
        <v>1182</v>
      </c>
      <c r="F438" s="19"/>
      <c r="G438" s="20">
        <v>1.0</v>
      </c>
      <c r="H438" s="21"/>
      <c r="I438" s="21">
        <v>145.0</v>
      </c>
      <c r="J438" s="22">
        <v>2.0</v>
      </c>
      <c r="K438" s="50"/>
      <c r="L438" s="21" t="str">
        <f>IF(K438&gt;0,K438*I438,"")</f>
      </c>
      <c r="M438" s="52"/>
      <c r="N438" t="str">
        <f>IF(K438&gt;0,COUNTIF($K$7:K438,"&gt;0"),"")</f>
      </c>
      <c r="O438" t="s">
        <v>1183</v>
      </c>
      <c r="P438" t="s">
        <v>1178</v>
      </c>
      <c r="Q438" t="s">
        <v>1178</v>
      </c>
    </row>
    <row r="439" spans="1:18" customHeight="1" ht="58">
      <c r="A439" s="16"/>
      <c r="B439" s="18" t="s">
        <v>1185</v>
      </c>
      <c r="C439" s="17" t="s">
        <v>1186</v>
      </c>
      <c r="D439" s="17" t="s">
        <v>234</v>
      </c>
      <c r="E439" s="17" t="s">
        <v>1187</v>
      </c>
      <c r="F439" s="19"/>
      <c r="G439" s="20">
        <v>1.0</v>
      </c>
      <c r="H439" s="21"/>
      <c r="I439" s="21">
        <v>180.0</v>
      </c>
      <c r="J439" s="22">
        <v>2.0</v>
      </c>
      <c r="K439" s="50"/>
      <c r="L439" s="21" t="str">
        <f>IF(K439&gt;0,K439*I439,"")</f>
      </c>
      <c r="M439" s="52"/>
      <c r="N439" t="str">
        <f>IF(K439&gt;0,COUNTIF($K$7:K439,"&gt;0"),"")</f>
      </c>
      <c r="O439" t="s">
        <v>1188</v>
      </c>
      <c r="P439" t="s">
        <v>1184</v>
      </c>
      <c r="Q439" t="s">
        <v>1184</v>
      </c>
    </row>
    <row r="440" spans="1:18" customHeight="1" ht="58">
      <c r="A440" s="16"/>
      <c r="B440" s="18" t="s">
        <v>1185</v>
      </c>
      <c r="C440" s="17" t="s">
        <v>1186</v>
      </c>
      <c r="D440" s="17" t="s">
        <v>1181</v>
      </c>
      <c r="E440" s="17" t="s">
        <v>1187</v>
      </c>
      <c r="F440" s="19"/>
      <c r="G440" s="20">
        <v>1.0</v>
      </c>
      <c r="H440" s="21"/>
      <c r="I440" s="21">
        <v>180.0</v>
      </c>
      <c r="J440" s="22">
        <v>4.0</v>
      </c>
      <c r="K440" s="50"/>
      <c r="L440" s="21" t="str">
        <f>IF(K440&gt;0,K440*I440,"")</f>
      </c>
      <c r="M440" s="52"/>
      <c r="N440" t="str">
        <f>IF(K440&gt;0,COUNTIF($K$7:K440,"&gt;0"),"")</f>
      </c>
      <c r="O440" t="s">
        <v>1190</v>
      </c>
      <c r="P440" t="s">
        <v>1189</v>
      </c>
      <c r="Q440" t="s">
        <v>1189</v>
      </c>
    </row>
    <row r="441" spans="1:18" customHeight="1" ht="58">
      <c r="A441" s="16"/>
      <c r="B441" s="18" t="s">
        <v>1192</v>
      </c>
      <c r="C441" s="17" t="s">
        <v>1193</v>
      </c>
      <c r="D441" s="17" t="s">
        <v>1181</v>
      </c>
      <c r="E441" s="17" t="s">
        <v>1194</v>
      </c>
      <c r="F441" s="19"/>
      <c r="G441" s="20">
        <v>1.0</v>
      </c>
      <c r="H441" s="21"/>
      <c r="I441" s="21">
        <v>203.0</v>
      </c>
      <c r="J441" s="22">
        <v>28.0</v>
      </c>
      <c r="K441" s="50"/>
      <c r="L441" s="21" t="str">
        <f>IF(K441&gt;0,K441*I441,"")</f>
      </c>
      <c r="M441" s="52"/>
      <c r="N441" t="str">
        <f>IF(K441&gt;0,COUNTIF($K$7:K441,"&gt;0"),"")</f>
      </c>
      <c r="O441" t="s">
        <v>1195</v>
      </c>
      <c r="P441" t="s">
        <v>1191</v>
      </c>
      <c r="Q441" t="s">
        <v>1191</v>
      </c>
    </row>
    <row r="442" spans="1:18" customHeight="1" ht="58">
      <c r="A442" s="16"/>
      <c r="B442" s="18" t="s">
        <v>1197</v>
      </c>
      <c r="C442" s="17" t="s">
        <v>1198</v>
      </c>
      <c r="D442" s="17"/>
      <c r="E442" s="17"/>
      <c r="F442" s="19"/>
      <c r="G442" s="20">
        <v>1.0</v>
      </c>
      <c r="H442" s="21"/>
      <c r="I442" s="21">
        <v>1363.0</v>
      </c>
      <c r="J442" s="22">
        <v>8.0</v>
      </c>
      <c r="K442" s="50"/>
      <c r="L442" s="21" t="str">
        <f>IF(K442&gt;0,K442*I442,"")</f>
      </c>
      <c r="M442" s="52"/>
      <c r="N442" t="str">
        <f>IF(K442&gt;0,COUNTIF($K$7:K442,"&gt;0"),"")</f>
      </c>
      <c r="O442" t="s">
        <v>1199</v>
      </c>
      <c r="P442" t="s">
        <v>1196</v>
      </c>
      <c r="Q442" t="s">
        <v>1196</v>
      </c>
    </row>
    <row r="443" spans="1:18" customHeight="1" ht="58">
      <c r="A443" s="16"/>
      <c r="B443" s="18" t="s">
        <v>1197</v>
      </c>
      <c r="C443" s="17" t="s">
        <v>1201</v>
      </c>
      <c r="D443" s="17"/>
      <c r="E443" s="17"/>
      <c r="F443" s="19"/>
      <c r="G443" s="20">
        <v>1.0</v>
      </c>
      <c r="H443" s="21"/>
      <c r="I443" s="21">
        <v>1363.0</v>
      </c>
      <c r="J443" s="22">
        <v>1.0</v>
      </c>
      <c r="K443" s="50"/>
      <c r="L443" s="21" t="str">
        <f>IF(K443&gt;0,K443*I443,"")</f>
      </c>
      <c r="M443" s="52"/>
      <c r="N443" t="str">
        <f>IF(K443&gt;0,COUNTIF($K$7:K443,"&gt;0"),"")</f>
      </c>
      <c r="O443" t="s">
        <v>1202</v>
      </c>
      <c r="P443" t="s">
        <v>1200</v>
      </c>
      <c r="Q443" t="s">
        <v>1200</v>
      </c>
    </row>
    <row r="444" spans="1:18" customHeight="1" ht="58">
      <c r="A444" s="16"/>
      <c r="B444" s="18" t="s">
        <v>1204</v>
      </c>
      <c r="C444" s="17" t="s">
        <v>1205</v>
      </c>
      <c r="D444" s="17" t="s">
        <v>1206</v>
      </c>
      <c r="E444" s="17" t="s">
        <v>1194</v>
      </c>
      <c r="F444" s="19"/>
      <c r="G444" s="20">
        <v>1.0</v>
      </c>
      <c r="H444" s="21"/>
      <c r="I444" s="21">
        <v>509.0</v>
      </c>
      <c r="J444" s="22">
        <v>3.0</v>
      </c>
      <c r="K444" s="50"/>
      <c r="L444" s="21" t="str">
        <f>IF(K444&gt;0,K444*I444,"")</f>
      </c>
      <c r="M444" s="52"/>
      <c r="N444" t="str">
        <f>IF(K444&gt;0,COUNTIF($K$7:K444,"&gt;0"),"")</f>
      </c>
      <c r="O444" t="s">
        <v>1207</v>
      </c>
      <c r="P444" t="s">
        <v>1203</v>
      </c>
      <c r="Q444" t="s">
        <v>1203</v>
      </c>
    </row>
    <row r="445" spans="1:18" customHeight="1" ht="58">
      <c r="A445" s="16"/>
      <c r="B445" s="18" t="s">
        <v>1209</v>
      </c>
      <c r="C445" s="17" t="s">
        <v>1210</v>
      </c>
      <c r="D445" s="17"/>
      <c r="E445" s="17"/>
      <c r="F445" s="19"/>
      <c r="G445" s="20">
        <v>1.0</v>
      </c>
      <c r="H445" s="21"/>
      <c r="I445" s="21">
        <v>185.0</v>
      </c>
      <c r="J445" s="22">
        <v>12.0</v>
      </c>
      <c r="K445" s="50"/>
      <c r="L445" s="21" t="str">
        <f>IF(K445&gt;0,K445*I445,"")</f>
      </c>
      <c r="M445" s="52"/>
      <c r="N445" t="str">
        <f>IF(K445&gt;0,COUNTIF($K$7:K445,"&gt;0"),"")</f>
      </c>
      <c r="O445" t="s">
        <v>1211</v>
      </c>
      <c r="P445" t="s">
        <v>1208</v>
      </c>
      <c r="Q445" t="s">
        <v>1208</v>
      </c>
    </row>
    <row r="446" spans="1:18" customHeight="1" ht="58">
      <c r="A446" s="16"/>
      <c r="B446" s="18" t="s">
        <v>1209</v>
      </c>
      <c r="C446" s="17" t="s">
        <v>1213</v>
      </c>
      <c r="D446" s="17"/>
      <c r="E446" s="17"/>
      <c r="F446" s="19"/>
      <c r="G446" s="20">
        <v>1.0</v>
      </c>
      <c r="H446" s="21"/>
      <c r="I446" s="21">
        <v>185.0</v>
      </c>
      <c r="J446" s="22">
        <v>8.0</v>
      </c>
      <c r="K446" s="50"/>
      <c r="L446" s="21" t="str">
        <f>IF(K446&gt;0,K446*I446,"")</f>
      </c>
      <c r="M446" s="52"/>
      <c r="N446" t="str">
        <f>IF(K446&gt;0,COUNTIF($K$7:K446,"&gt;0"),"")</f>
      </c>
      <c r="O446" t="s">
        <v>1214</v>
      </c>
      <c r="P446" t="s">
        <v>1212</v>
      </c>
      <c r="Q446" t="s">
        <v>1212</v>
      </c>
    </row>
    <row r="447" spans="1:18" customHeight="1" ht="58">
      <c r="A447" s="16"/>
      <c r="B447" s="18" t="s">
        <v>1209</v>
      </c>
      <c r="C447" s="17" t="s">
        <v>1216</v>
      </c>
      <c r="D447" s="17"/>
      <c r="E447" s="17"/>
      <c r="F447" s="19"/>
      <c r="G447" s="20">
        <v>1.0</v>
      </c>
      <c r="H447" s="21"/>
      <c r="I447" s="21">
        <v>203.0</v>
      </c>
      <c r="J447" s="22">
        <v>14.0</v>
      </c>
      <c r="K447" s="50"/>
      <c r="L447" s="21" t="str">
        <f>IF(K447&gt;0,K447*I447,"")</f>
      </c>
      <c r="M447" s="52"/>
      <c r="N447" t="str">
        <f>IF(K447&gt;0,COUNTIF($K$7:K447,"&gt;0"),"")</f>
      </c>
      <c r="O447" t="s">
        <v>1217</v>
      </c>
      <c r="P447" t="s">
        <v>1215</v>
      </c>
      <c r="Q447" t="s">
        <v>1215</v>
      </c>
    </row>
    <row r="448" spans="1:18" customHeight="1" ht="58">
      <c r="A448" s="16"/>
      <c r="B448" s="18" t="s">
        <v>1219</v>
      </c>
      <c r="C448" s="17" t="s">
        <v>1220</v>
      </c>
      <c r="D448" s="17"/>
      <c r="E448" s="17" t="s">
        <v>1221</v>
      </c>
      <c r="F448" s="19"/>
      <c r="G448" s="20">
        <v>1.0</v>
      </c>
      <c r="H448" s="21"/>
      <c r="I448" s="21">
        <v>659.0</v>
      </c>
      <c r="J448" s="22">
        <v>2.0</v>
      </c>
      <c r="K448" s="50"/>
      <c r="L448" s="21" t="str">
        <f>IF(K448&gt;0,K448*I448,"")</f>
      </c>
      <c r="M448" s="52"/>
      <c r="N448" t="str">
        <f>IF(K448&gt;0,COUNTIF($K$7:K448,"&gt;0"),"")</f>
      </c>
      <c r="O448" t="s">
        <v>1222</v>
      </c>
      <c r="P448" t="s">
        <v>1218</v>
      </c>
      <c r="Q448" t="s">
        <v>1218</v>
      </c>
    </row>
    <row r="449" spans="1:18" customHeight="1" ht="58">
      <c r="A449" s="16"/>
      <c r="B449" s="18" t="s">
        <v>1219</v>
      </c>
      <c r="C449" s="17" t="s">
        <v>1224</v>
      </c>
      <c r="D449" s="17"/>
      <c r="E449" s="17" t="s">
        <v>1225</v>
      </c>
      <c r="F449" s="19"/>
      <c r="G449" s="20">
        <v>1.0</v>
      </c>
      <c r="H449" s="21"/>
      <c r="I449" s="21">
        <v>908.0</v>
      </c>
      <c r="J449" s="22">
        <v>2.0</v>
      </c>
      <c r="K449" s="50"/>
      <c r="L449" s="21" t="str">
        <f>IF(K449&gt;0,K449*I449,"")</f>
      </c>
      <c r="M449" s="52"/>
      <c r="N449" t="str">
        <f>IF(K449&gt;0,COUNTIF($K$7:K449,"&gt;0"),"")</f>
      </c>
      <c r="O449" t="s">
        <v>1226</v>
      </c>
      <c r="P449" t="s">
        <v>1223</v>
      </c>
      <c r="Q449" t="s">
        <v>1223</v>
      </c>
    </row>
    <row r="450" spans="1:18" customHeight="1" ht="58">
      <c r="A450" s="16"/>
      <c r="B450" s="18" t="s">
        <v>1219</v>
      </c>
      <c r="C450" s="17" t="s">
        <v>1228</v>
      </c>
      <c r="D450" s="17"/>
      <c r="E450" s="17" t="s">
        <v>1225</v>
      </c>
      <c r="F450" s="19"/>
      <c r="G450" s="20">
        <v>1.0</v>
      </c>
      <c r="H450" s="21"/>
      <c r="I450" s="21">
        <v>908.0</v>
      </c>
      <c r="J450" s="22">
        <v>1.0</v>
      </c>
      <c r="K450" s="50"/>
      <c r="L450" s="21" t="str">
        <f>IF(K450&gt;0,K450*I450,"")</f>
      </c>
      <c r="M450" s="52"/>
      <c r="N450" t="str">
        <f>IF(K450&gt;0,COUNTIF($K$7:K450,"&gt;0"),"")</f>
      </c>
      <c r="O450" t="s">
        <v>1229</v>
      </c>
      <c r="P450" t="s">
        <v>1227</v>
      </c>
      <c r="Q450" t="s">
        <v>1227</v>
      </c>
    </row>
    <row r="451" spans="1:18" customHeight="1" ht="58">
      <c r="A451" s="16"/>
      <c r="B451" s="18" t="s">
        <v>1231</v>
      </c>
      <c r="C451" s="17" t="s">
        <v>1232</v>
      </c>
      <c r="D451" s="17"/>
      <c r="E451" s="17" t="s">
        <v>1233</v>
      </c>
      <c r="F451" s="19"/>
      <c r="G451" s="20">
        <v>1.0</v>
      </c>
      <c r="H451" s="21"/>
      <c r="I451" s="21">
        <v>231.0</v>
      </c>
      <c r="J451" s="22">
        <v>11.0</v>
      </c>
      <c r="K451" s="50"/>
      <c r="L451" s="21" t="str">
        <f>IF(K451&gt;0,K451*I451,"")</f>
      </c>
      <c r="M451" s="52"/>
      <c r="N451" t="str">
        <f>IF(K451&gt;0,COUNTIF($K$7:K451,"&gt;0"),"")</f>
      </c>
      <c r="O451" t="s">
        <v>1234</v>
      </c>
      <c r="P451" t="s">
        <v>1230</v>
      </c>
      <c r="Q451" t="s">
        <v>1230</v>
      </c>
    </row>
    <row r="452" spans="1:18" customHeight="1" ht="58">
      <c r="A452" s="16"/>
      <c r="B452" s="18" t="s">
        <v>1231</v>
      </c>
      <c r="C452" s="17" t="s">
        <v>1236</v>
      </c>
      <c r="D452" s="17"/>
      <c r="E452" s="17" t="s">
        <v>1237</v>
      </c>
      <c r="F452" s="19"/>
      <c r="G452" s="20">
        <v>1.0</v>
      </c>
      <c r="H452" s="21"/>
      <c r="I452" s="21">
        <v>492.0</v>
      </c>
      <c r="J452" s="22">
        <v>7.0</v>
      </c>
      <c r="K452" s="50"/>
      <c r="L452" s="21" t="str">
        <f>IF(K452&gt;0,K452*I452,"")</f>
      </c>
      <c r="M452" s="52"/>
      <c r="N452" t="str">
        <f>IF(K452&gt;0,COUNTIF($K$7:K452,"&gt;0"),"")</f>
      </c>
      <c r="O452" t="s">
        <v>1238</v>
      </c>
      <c r="P452" t="s">
        <v>1235</v>
      </c>
      <c r="Q452" t="s">
        <v>1235</v>
      </c>
    </row>
    <row r="453" spans="1:18" customHeight="1" ht="58">
      <c r="A453" s="16"/>
      <c r="B453" s="18" t="s">
        <v>1231</v>
      </c>
      <c r="C453" s="17" t="s">
        <v>1240</v>
      </c>
      <c r="D453" s="17"/>
      <c r="E453" s="17" t="s">
        <v>1233</v>
      </c>
      <c r="F453" s="19"/>
      <c r="G453" s="20">
        <v>1.0</v>
      </c>
      <c r="H453" s="21"/>
      <c r="I453" s="21">
        <v>231.0</v>
      </c>
      <c r="J453" s="22">
        <v>12.0</v>
      </c>
      <c r="K453" s="50"/>
      <c r="L453" s="21" t="str">
        <f>IF(K453&gt;0,K453*I453,"")</f>
      </c>
      <c r="M453" s="52"/>
      <c r="N453" t="str">
        <f>IF(K453&gt;0,COUNTIF($K$7:K453,"&gt;0"),"")</f>
      </c>
      <c r="O453" t="s">
        <v>1241</v>
      </c>
      <c r="P453" t="s">
        <v>1239</v>
      </c>
      <c r="Q453" t="s">
        <v>1239</v>
      </c>
    </row>
    <row r="454" spans="1:18" customHeight="1" ht="58">
      <c r="A454" s="16"/>
      <c r="B454" s="18" t="s">
        <v>1231</v>
      </c>
      <c r="C454" s="17" t="s">
        <v>1243</v>
      </c>
      <c r="D454" s="17"/>
      <c r="E454" s="17" t="s">
        <v>1237</v>
      </c>
      <c r="F454" s="19"/>
      <c r="G454" s="20">
        <v>1.0</v>
      </c>
      <c r="H454" s="21"/>
      <c r="I454" s="21">
        <v>492.0</v>
      </c>
      <c r="J454" s="22">
        <v>6.0</v>
      </c>
      <c r="K454" s="50"/>
      <c r="L454" s="21" t="str">
        <f>IF(K454&gt;0,K454*I454,"")</f>
      </c>
      <c r="M454" s="52"/>
      <c r="N454" t="str">
        <f>IF(K454&gt;0,COUNTIF($K$7:K454,"&gt;0"),"")</f>
      </c>
      <c r="O454" t="s">
        <v>1244</v>
      </c>
      <c r="P454" t="s">
        <v>1242</v>
      </c>
      <c r="Q454" t="s">
        <v>1242</v>
      </c>
    </row>
    <row r="455" spans="1:18" customHeight="1" ht="58">
      <c r="A455" s="16"/>
      <c r="B455" s="18" t="s">
        <v>1231</v>
      </c>
      <c r="C455" s="17" t="s">
        <v>1246</v>
      </c>
      <c r="D455" s="17"/>
      <c r="E455" s="17" t="s">
        <v>1233</v>
      </c>
      <c r="F455" s="19"/>
      <c r="G455" s="20">
        <v>1.0</v>
      </c>
      <c r="H455" s="21"/>
      <c r="I455" s="21">
        <v>231.0</v>
      </c>
      <c r="J455" s="22">
        <v>4.0</v>
      </c>
      <c r="K455" s="50"/>
      <c r="L455" s="21" t="str">
        <f>IF(K455&gt;0,K455*I455,"")</f>
      </c>
      <c r="M455" s="52"/>
      <c r="N455" t="str">
        <f>IF(K455&gt;0,COUNTIF($K$7:K455,"&gt;0"),"")</f>
      </c>
      <c r="O455" t="s">
        <v>1247</v>
      </c>
      <c r="P455" t="s">
        <v>1245</v>
      </c>
      <c r="Q455" t="s">
        <v>1245</v>
      </c>
    </row>
    <row r="456" spans="1:18" customHeight="1" ht="58">
      <c r="A456" s="16"/>
      <c r="B456" s="18" t="s">
        <v>1231</v>
      </c>
      <c r="C456" s="17" t="s">
        <v>1249</v>
      </c>
      <c r="D456" s="17"/>
      <c r="E456" s="17" t="s">
        <v>1237</v>
      </c>
      <c r="F456" s="19"/>
      <c r="G456" s="20">
        <v>1.0</v>
      </c>
      <c r="H456" s="21"/>
      <c r="I456" s="21">
        <v>492.0</v>
      </c>
      <c r="J456" s="22">
        <v>8.0</v>
      </c>
      <c r="K456" s="50"/>
      <c r="L456" s="21" t="str">
        <f>IF(K456&gt;0,K456*I456,"")</f>
      </c>
      <c r="M456" s="52"/>
      <c r="N456" t="str">
        <f>IF(K456&gt;0,COUNTIF($K$7:K456,"&gt;0"),"")</f>
      </c>
      <c r="O456" t="s">
        <v>1250</v>
      </c>
      <c r="P456" t="s">
        <v>1248</v>
      </c>
      <c r="Q456" t="s">
        <v>1248</v>
      </c>
    </row>
    <row r="457" spans="1:18" customHeight="1" ht="58">
      <c r="A457" s="16"/>
      <c r="B457" s="18" t="s">
        <v>1252</v>
      </c>
      <c r="C457" s="17" t="s">
        <v>1253</v>
      </c>
      <c r="D457" s="17" t="s">
        <v>231</v>
      </c>
      <c r="E457" s="17" t="s">
        <v>1194</v>
      </c>
      <c r="F457" s="19"/>
      <c r="G457" s="20">
        <v>1.0</v>
      </c>
      <c r="H457" s="21"/>
      <c r="I457" s="21">
        <v>180.0</v>
      </c>
      <c r="J457" s="22">
        <v>4.0</v>
      </c>
      <c r="K457" s="50"/>
      <c r="L457" s="21" t="str">
        <f>IF(K457&gt;0,K457*I457,"")</f>
      </c>
      <c r="M457" s="52"/>
      <c r="N457" t="str">
        <f>IF(K457&gt;0,COUNTIF($K$7:K457,"&gt;0"),"")</f>
      </c>
      <c r="O457" t="s">
        <v>1254</v>
      </c>
      <c r="P457" t="s">
        <v>1251</v>
      </c>
      <c r="Q457" t="s">
        <v>1251</v>
      </c>
    </row>
    <row r="458" spans="1:18" customHeight="1" ht="58">
      <c r="A458" s="16"/>
      <c r="B458" s="18" t="s">
        <v>1252</v>
      </c>
      <c r="C458" s="17" t="s">
        <v>1253</v>
      </c>
      <c r="D458" s="17" t="s">
        <v>1256</v>
      </c>
      <c r="E458" s="17" t="s">
        <v>1194</v>
      </c>
      <c r="F458" s="19"/>
      <c r="G458" s="20">
        <v>1.0</v>
      </c>
      <c r="H458" s="21"/>
      <c r="I458" s="21">
        <v>180.0</v>
      </c>
      <c r="J458" s="22">
        <v>17.0</v>
      </c>
      <c r="K458" s="50"/>
      <c r="L458" s="21" t="str">
        <f>IF(K458&gt;0,K458*I458,"")</f>
      </c>
      <c r="M458" s="52"/>
      <c r="N458" t="str">
        <f>IF(K458&gt;0,COUNTIF($K$7:K458,"&gt;0"),"")</f>
      </c>
      <c r="O458" t="s">
        <v>1257</v>
      </c>
      <c r="P458" t="s">
        <v>1255</v>
      </c>
      <c r="Q458" t="s">
        <v>1255</v>
      </c>
    </row>
    <row r="459" spans="1:18" customHeight="1" ht="58">
      <c r="A459" s="16"/>
      <c r="B459" s="18" t="s">
        <v>1252</v>
      </c>
      <c r="C459" s="17" t="s">
        <v>1253</v>
      </c>
      <c r="D459" s="17" t="s">
        <v>1259</v>
      </c>
      <c r="E459" s="17" t="s">
        <v>1194</v>
      </c>
      <c r="F459" s="19"/>
      <c r="G459" s="20">
        <v>1.0</v>
      </c>
      <c r="H459" s="21"/>
      <c r="I459" s="21">
        <v>180.0</v>
      </c>
      <c r="J459" s="22">
        <v>10.0</v>
      </c>
      <c r="K459" s="50"/>
      <c r="L459" s="21" t="str">
        <f>IF(K459&gt;0,K459*I459,"")</f>
      </c>
      <c r="M459" s="52"/>
      <c r="N459" t="str">
        <f>IF(K459&gt;0,COUNTIF($K$7:K459,"&gt;0"),"")</f>
      </c>
      <c r="O459" t="s">
        <v>1260</v>
      </c>
      <c r="P459" t="s">
        <v>1258</v>
      </c>
      <c r="Q459" t="s">
        <v>1258</v>
      </c>
    </row>
    <row r="460" spans="1:18" customHeight="1" ht="58">
      <c r="A460" s="16"/>
      <c r="B460" s="18" t="s">
        <v>1252</v>
      </c>
      <c r="C460" s="17" t="s">
        <v>1253</v>
      </c>
      <c r="D460" s="17" t="s">
        <v>1262</v>
      </c>
      <c r="E460" s="17" t="s">
        <v>1194</v>
      </c>
      <c r="F460" s="19"/>
      <c r="G460" s="20">
        <v>1.0</v>
      </c>
      <c r="H460" s="21"/>
      <c r="I460" s="21">
        <v>180.0</v>
      </c>
      <c r="J460" s="22">
        <v>30.0</v>
      </c>
      <c r="K460" s="50"/>
      <c r="L460" s="21" t="str">
        <f>IF(K460&gt;0,K460*I460,"")</f>
      </c>
      <c r="M460" s="52"/>
      <c r="N460" t="str">
        <f>IF(K460&gt;0,COUNTIF($K$7:K460,"&gt;0"),"")</f>
      </c>
      <c r="O460" t="s">
        <v>1263</v>
      </c>
      <c r="P460" t="s">
        <v>1261</v>
      </c>
      <c r="Q460" t="s">
        <v>1261</v>
      </c>
    </row>
    <row r="461" spans="1:18" customHeight="1" ht="58">
      <c r="A461" s="16"/>
      <c r="B461" s="18" t="s">
        <v>1252</v>
      </c>
      <c r="C461" s="17" t="s">
        <v>1253</v>
      </c>
      <c r="D461" s="17" t="s">
        <v>1265</v>
      </c>
      <c r="E461" s="17" t="s">
        <v>1194</v>
      </c>
      <c r="F461" s="19"/>
      <c r="G461" s="20">
        <v>1.0</v>
      </c>
      <c r="H461" s="21"/>
      <c r="I461" s="21">
        <v>180.0</v>
      </c>
      <c r="J461" s="22">
        <v>7.0</v>
      </c>
      <c r="K461" s="50"/>
      <c r="L461" s="21" t="str">
        <f>IF(K461&gt;0,K461*I461,"")</f>
      </c>
      <c r="M461" s="52"/>
      <c r="N461" t="str">
        <f>IF(K461&gt;0,COUNTIF($K$7:K461,"&gt;0"),"")</f>
      </c>
      <c r="O461" t="s">
        <v>1266</v>
      </c>
      <c r="P461" t="s">
        <v>1264</v>
      </c>
      <c r="Q461" t="s">
        <v>1264</v>
      </c>
    </row>
    <row r="462" spans="1:18" customHeight="1" ht="58">
      <c r="A462" s="16"/>
      <c r="B462" s="18" t="s">
        <v>1252</v>
      </c>
      <c r="C462" s="17" t="s">
        <v>1253</v>
      </c>
      <c r="D462" s="17" t="s">
        <v>1268</v>
      </c>
      <c r="E462" s="17" t="s">
        <v>1194</v>
      </c>
      <c r="F462" s="19"/>
      <c r="G462" s="20">
        <v>1.0</v>
      </c>
      <c r="H462" s="21"/>
      <c r="I462" s="21">
        <v>180.0</v>
      </c>
      <c r="J462" s="22">
        <v>12.0</v>
      </c>
      <c r="K462" s="50"/>
      <c r="L462" s="21" t="str">
        <f>IF(K462&gt;0,K462*I462,"")</f>
      </c>
      <c r="M462" s="52"/>
      <c r="N462" t="str">
        <f>IF(K462&gt;0,COUNTIF($K$7:K462,"&gt;0"),"")</f>
      </c>
      <c r="O462" t="s">
        <v>1269</v>
      </c>
      <c r="P462" t="s">
        <v>1267</v>
      </c>
      <c r="Q462" t="s">
        <v>1267</v>
      </c>
    </row>
    <row r="463" spans="1:18" customHeight="1" ht="58">
      <c r="A463" s="16"/>
      <c r="B463" s="18" t="s">
        <v>1252</v>
      </c>
      <c r="C463" s="17" t="s">
        <v>1253</v>
      </c>
      <c r="D463" s="17" t="s">
        <v>1271</v>
      </c>
      <c r="E463" s="17" t="s">
        <v>1194</v>
      </c>
      <c r="F463" s="19"/>
      <c r="G463" s="20">
        <v>1.0</v>
      </c>
      <c r="H463" s="21"/>
      <c r="I463" s="21">
        <v>180.0</v>
      </c>
      <c r="J463" s="22">
        <v>13.0</v>
      </c>
      <c r="K463" s="50"/>
      <c r="L463" s="21" t="str">
        <f>IF(K463&gt;0,K463*I463,"")</f>
      </c>
      <c r="M463" s="52"/>
      <c r="N463" t="str">
        <f>IF(K463&gt;0,COUNTIF($K$7:K463,"&gt;0"),"")</f>
      </c>
      <c r="O463" t="s">
        <v>1272</v>
      </c>
      <c r="P463" t="s">
        <v>1270</v>
      </c>
      <c r="Q463" t="s">
        <v>1270</v>
      </c>
    </row>
    <row r="464" spans="1:18" customHeight="1" ht="58">
      <c r="A464" s="16"/>
      <c r="B464" s="18" t="s">
        <v>1274</v>
      </c>
      <c r="C464" s="17" t="s">
        <v>1275</v>
      </c>
      <c r="D464" s="17"/>
      <c r="E464" s="17" t="s">
        <v>1276</v>
      </c>
      <c r="F464" s="19"/>
      <c r="G464" s="20">
        <v>1.0</v>
      </c>
      <c r="H464" s="21"/>
      <c r="I464" s="21">
        <v>520.0</v>
      </c>
      <c r="J464" s="22">
        <v>1.0</v>
      </c>
      <c r="K464" s="50"/>
      <c r="L464" s="21" t="str">
        <f>IF(K464&gt;0,K464*I464,"")</f>
      </c>
      <c r="M464" s="52"/>
      <c r="N464" t="str">
        <f>IF(K464&gt;0,COUNTIF($K$7:K464,"&gt;0"),"")</f>
      </c>
      <c r="O464" t="s">
        <v>1277</v>
      </c>
      <c r="P464" t="s">
        <v>1273</v>
      </c>
      <c r="Q464" t="s">
        <v>1273</v>
      </c>
    </row>
    <row r="465" spans="1:18" customHeight="1" ht="58">
      <c r="A465" s="16"/>
      <c r="B465" s="18" t="s">
        <v>1279</v>
      </c>
      <c r="C465" s="17" t="s">
        <v>1280</v>
      </c>
      <c r="D465" s="17"/>
      <c r="E465" s="17" t="s">
        <v>1225</v>
      </c>
      <c r="F465" s="19"/>
      <c r="G465" s="20">
        <v>1.0</v>
      </c>
      <c r="H465" s="21"/>
      <c r="I465" s="21">
        <v>758.0</v>
      </c>
      <c r="J465" s="22">
        <v>6.0</v>
      </c>
      <c r="K465" s="50"/>
      <c r="L465" s="21" t="str">
        <f>IF(K465&gt;0,K465*I465,"")</f>
      </c>
      <c r="M465" s="52"/>
      <c r="N465" t="str">
        <f>IF(K465&gt;0,COUNTIF($K$7:K465,"&gt;0"),"")</f>
      </c>
      <c r="O465" t="s">
        <v>1281</v>
      </c>
      <c r="P465" t="s">
        <v>1278</v>
      </c>
      <c r="Q465" t="s">
        <v>1278</v>
      </c>
    </row>
    <row r="466" spans="1:18" customHeight="1" ht="58">
      <c r="A466" s="16"/>
      <c r="B466" s="18" t="s">
        <v>1279</v>
      </c>
      <c r="C466" s="17" t="s">
        <v>1283</v>
      </c>
      <c r="D466" s="17"/>
      <c r="E466" s="17" t="s">
        <v>1225</v>
      </c>
      <c r="F466" s="19"/>
      <c r="G466" s="20">
        <v>1.0</v>
      </c>
      <c r="H466" s="21"/>
      <c r="I466" s="21">
        <v>758.0</v>
      </c>
      <c r="J466" s="22">
        <v>1.0</v>
      </c>
      <c r="K466" s="50"/>
      <c r="L466" s="21" t="str">
        <f>IF(K466&gt;0,K466*I466,"")</f>
      </c>
      <c r="M466" s="52"/>
      <c r="N466" t="str">
        <f>IF(K466&gt;0,COUNTIF($K$7:K466,"&gt;0"),"")</f>
      </c>
      <c r="O466" t="s">
        <v>1284</v>
      </c>
      <c r="P466" t="s">
        <v>1282</v>
      </c>
      <c r="Q466" t="s">
        <v>1282</v>
      </c>
    </row>
    <row r="467" spans="1:18" customHeight="1" ht="58">
      <c r="A467" s="16"/>
      <c r="B467" s="18" t="s">
        <v>1279</v>
      </c>
      <c r="C467" s="17" t="s">
        <v>1286</v>
      </c>
      <c r="D467" s="17"/>
      <c r="E467" s="17" t="s">
        <v>1237</v>
      </c>
      <c r="F467" s="19"/>
      <c r="G467" s="20">
        <v>1.0</v>
      </c>
      <c r="H467" s="21"/>
      <c r="I467" s="21">
        <v>492.0</v>
      </c>
      <c r="J467" s="22">
        <v>6.0</v>
      </c>
      <c r="K467" s="50"/>
      <c r="L467" s="21" t="str">
        <f>IF(K467&gt;0,K467*I467,"")</f>
      </c>
      <c r="M467" s="52"/>
      <c r="N467" t="str">
        <f>IF(K467&gt;0,COUNTIF($K$7:K467,"&gt;0"),"")</f>
      </c>
      <c r="O467" t="s">
        <v>1287</v>
      </c>
      <c r="P467" t="s">
        <v>1285</v>
      </c>
      <c r="Q467" t="s">
        <v>1285</v>
      </c>
    </row>
    <row r="468" spans="1:18" customHeight="1" ht="58">
      <c r="A468" s="16"/>
      <c r="B468" s="18" t="s">
        <v>1279</v>
      </c>
      <c r="C468" s="17" t="s">
        <v>1289</v>
      </c>
      <c r="D468" s="17"/>
      <c r="E468" s="17" t="s">
        <v>1225</v>
      </c>
      <c r="F468" s="19"/>
      <c r="G468" s="20">
        <v>1.0</v>
      </c>
      <c r="H468" s="21"/>
      <c r="I468" s="21">
        <v>758.0</v>
      </c>
      <c r="J468" s="22">
        <v>2.0</v>
      </c>
      <c r="K468" s="50"/>
      <c r="L468" s="21" t="str">
        <f>IF(K468&gt;0,K468*I468,"")</f>
      </c>
      <c r="M468" s="52"/>
      <c r="N468" t="str">
        <f>IF(K468&gt;0,COUNTIF($K$7:K468,"&gt;0"),"")</f>
      </c>
      <c r="O468" t="s">
        <v>1290</v>
      </c>
      <c r="P468" t="s">
        <v>1288</v>
      </c>
      <c r="Q468" t="s">
        <v>1288</v>
      </c>
    </row>
    <row r="469" spans="1:18" customHeight="1" ht="58">
      <c r="A469" s="16"/>
      <c r="B469" s="18" t="s">
        <v>1279</v>
      </c>
      <c r="C469" s="17" t="s">
        <v>1292</v>
      </c>
      <c r="D469" s="17"/>
      <c r="E469" s="17" t="s">
        <v>1293</v>
      </c>
      <c r="F469" s="19"/>
      <c r="G469" s="20">
        <v>1.0</v>
      </c>
      <c r="H469" s="21"/>
      <c r="I469" s="21">
        <v>231.0</v>
      </c>
      <c r="J469" s="22">
        <v>10.0</v>
      </c>
      <c r="K469" s="50"/>
      <c r="L469" s="21" t="str">
        <f>IF(K469&gt;0,K469*I469,"")</f>
      </c>
      <c r="M469" s="52"/>
      <c r="N469" t="str">
        <f>IF(K469&gt;0,COUNTIF($K$7:K469,"&gt;0"),"")</f>
      </c>
      <c r="O469" t="s">
        <v>1294</v>
      </c>
      <c r="P469" t="s">
        <v>1291</v>
      </c>
      <c r="Q469" t="s">
        <v>1291</v>
      </c>
    </row>
    <row r="470" spans="1:18" customHeight="1" ht="58">
      <c r="A470" s="16"/>
      <c r="B470" s="18" t="s">
        <v>1279</v>
      </c>
      <c r="C470" s="17" t="s">
        <v>1296</v>
      </c>
      <c r="D470" s="17"/>
      <c r="E470" s="17" t="s">
        <v>1297</v>
      </c>
      <c r="F470" s="19"/>
      <c r="G470" s="20">
        <v>1.0</v>
      </c>
      <c r="H470" s="21"/>
      <c r="I470" s="21">
        <v>342.0</v>
      </c>
      <c r="J470" s="22">
        <v>4.0</v>
      </c>
      <c r="K470" s="50"/>
      <c r="L470" s="21" t="str">
        <f>IF(K470&gt;0,K470*I470,"")</f>
      </c>
      <c r="M470" s="52"/>
      <c r="N470" t="str">
        <f>IF(K470&gt;0,COUNTIF($K$7:K470,"&gt;0"),"")</f>
      </c>
      <c r="O470" t="s">
        <v>1298</v>
      </c>
      <c r="P470" t="s">
        <v>1295</v>
      </c>
      <c r="Q470" t="s">
        <v>1295</v>
      </c>
    </row>
    <row r="471" spans="1:18" customHeight="1" ht="58">
      <c r="A471" s="16"/>
      <c r="B471" s="18" t="s">
        <v>1279</v>
      </c>
      <c r="C471" s="17" t="s">
        <v>1300</v>
      </c>
      <c r="D471" s="17"/>
      <c r="E471" s="17" t="s">
        <v>1237</v>
      </c>
      <c r="F471" s="19"/>
      <c r="G471" s="20">
        <v>1.0</v>
      </c>
      <c r="H471" s="21"/>
      <c r="I471" s="21">
        <v>492.0</v>
      </c>
      <c r="J471" s="22">
        <v>15.0</v>
      </c>
      <c r="K471" s="50"/>
      <c r="L471" s="21" t="str">
        <f>IF(K471&gt;0,K471*I471,"")</f>
      </c>
      <c r="M471" s="52"/>
      <c r="N471" t="str">
        <f>IF(K471&gt;0,COUNTIF($K$7:K471,"&gt;0"),"")</f>
      </c>
      <c r="O471" t="s">
        <v>1301</v>
      </c>
      <c r="P471" t="s">
        <v>1299</v>
      </c>
      <c r="Q471" t="s">
        <v>1299</v>
      </c>
    </row>
    <row r="472" spans="1:18" customHeight="1" ht="58">
      <c r="A472" s="16"/>
      <c r="B472" s="18" t="s">
        <v>1279</v>
      </c>
      <c r="C472" s="17" t="s">
        <v>1303</v>
      </c>
      <c r="D472" s="17"/>
      <c r="E472" s="17" t="s">
        <v>1293</v>
      </c>
      <c r="F472" s="19"/>
      <c r="G472" s="20">
        <v>1.0</v>
      </c>
      <c r="H472" s="21"/>
      <c r="I472" s="21">
        <v>231.0</v>
      </c>
      <c r="J472" s="22">
        <v>2.0</v>
      </c>
      <c r="K472" s="50"/>
      <c r="L472" s="21" t="str">
        <f>IF(K472&gt;0,K472*I472,"")</f>
      </c>
      <c r="M472" s="52"/>
      <c r="N472" t="str">
        <f>IF(K472&gt;0,COUNTIF($K$7:K472,"&gt;0"),"")</f>
      </c>
      <c r="O472" t="s">
        <v>1304</v>
      </c>
      <c r="P472" t="s">
        <v>1302</v>
      </c>
      <c r="Q472" t="s">
        <v>1302</v>
      </c>
    </row>
    <row r="473" spans="1:18" customHeight="1" ht="58">
      <c r="A473" s="16"/>
      <c r="B473" s="18" t="s">
        <v>1279</v>
      </c>
      <c r="C473" s="17" t="s">
        <v>1306</v>
      </c>
      <c r="D473" s="17"/>
      <c r="E473" s="17" t="s">
        <v>1237</v>
      </c>
      <c r="F473" s="19"/>
      <c r="G473" s="20">
        <v>1.0</v>
      </c>
      <c r="H473" s="21"/>
      <c r="I473" s="21">
        <v>492.0</v>
      </c>
      <c r="J473" s="22">
        <v>1.0</v>
      </c>
      <c r="K473" s="50"/>
      <c r="L473" s="21" t="str">
        <f>IF(K473&gt;0,K473*I473,"")</f>
      </c>
      <c r="M473" s="52"/>
      <c r="N473" t="str">
        <f>IF(K473&gt;0,COUNTIF($K$7:K473,"&gt;0"),"")</f>
      </c>
      <c r="O473" t="s">
        <v>1307</v>
      </c>
      <c r="P473" t="s">
        <v>1305</v>
      </c>
      <c r="Q473" t="s">
        <v>1305</v>
      </c>
    </row>
    <row r="474" spans="1:18" customHeight="1" ht="58">
      <c r="A474" s="16"/>
      <c r="B474" s="18" t="s">
        <v>1309</v>
      </c>
      <c r="C474" s="17" t="s">
        <v>1310</v>
      </c>
      <c r="D474" s="17"/>
      <c r="E474" s="17" t="s">
        <v>1311</v>
      </c>
      <c r="F474" s="19"/>
      <c r="G474" s="20">
        <v>1.0</v>
      </c>
      <c r="H474" s="21"/>
      <c r="I474" s="21">
        <v>353.0</v>
      </c>
      <c r="J474" s="22">
        <v>2.0</v>
      </c>
      <c r="K474" s="50"/>
      <c r="L474" s="21" t="str">
        <f>IF(K474&gt;0,K474*I474,"")</f>
      </c>
      <c r="M474" s="52"/>
      <c r="N474" t="str">
        <f>IF(K474&gt;0,COUNTIF($K$7:K474,"&gt;0"),"")</f>
      </c>
      <c r="O474" t="s">
        <v>1312</v>
      </c>
      <c r="P474" t="s">
        <v>1308</v>
      </c>
      <c r="Q474" t="s">
        <v>1308</v>
      </c>
    </row>
    <row r="475" spans="1:18" customHeight="1" ht="58">
      <c r="A475" s="16"/>
      <c r="B475" s="18" t="s">
        <v>1309</v>
      </c>
      <c r="C475" s="17" t="s">
        <v>1314</v>
      </c>
      <c r="D475" s="17"/>
      <c r="E475" s="17" t="s">
        <v>1315</v>
      </c>
      <c r="F475" s="19"/>
      <c r="G475" s="20">
        <v>1.0</v>
      </c>
      <c r="H475" s="21"/>
      <c r="I475" s="21">
        <v>520.0</v>
      </c>
      <c r="J475" s="22">
        <v>17.0</v>
      </c>
      <c r="K475" s="50"/>
      <c r="L475" s="21" t="str">
        <f>IF(K475&gt;0,K475*I475,"")</f>
      </c>
      <c r="M475" s="52"/>
      <c r="N475" t="str">
        <f>IF(K475&gt;0,COUNTIF($K$7:K475,"&gt;0"),"")</f>
      </c>
      <c r="O475" t="s">
        <v>1316</v>
      </c>
      <c r="P475" t="s">
        <v>1313</v>
      </c>
      <c r="Q475" t="s">
        <v>1313</v>
      </c>
    </row>
    <row r="476" spans="1:18" customHeight="1" ht="58">
      <c r="A476" s="16"/>
      <c r="B476" s="18" t="s">
        <v>1309</v>
      </c>
      <c r="C476" s="17" t="s">
        <v>1318</v>
      </c>
      <c r="D476" s="17"/>
      <c r="E476" s="17" t="s">
        <v>1233</v>
      </c>
      <c r="F476" s="19"/>
      <c r="G476" s="20">
        <v>1.0</v>
      </c>
      <c r="H476" s="21"/>
      <c r="I476" s="21">
        <v>249.0</v>
      </c>
      <c r="J476" s="22">
        <v>13.0</v>
      </c>
      <c r="K476" s="50"/>
      <c r="L476" s="21" t="str">
        <f>IF(K476&gt;0,K476*I476,"")</f>
      </c>
      <c r="M476" s="52"/>
      <c r="N476" t="str">
        <f>IF(K476&gt;0,COUNTIF($K$7:K476,"&gt;0"),"")</f>
      </c>
      <c r="O476" t="s">
        <v>1319</v>
      </c>
      <c r="P476" t="s">
        <v>1317</v>
      </c>
      <c r="Q476" t="s">
        <v>1317</v>
      </c>
    </row>
    <row r="477" spans="1:18" customHeight="1" ht="58">
      <c r="A477" s="16"/>
      <c r="B477" s="18" t="s">
        <v>1309</v>
      </c>
      <c r="C477" s="17" t="s">
        <v>1321</v>
      </c>
      <c r="D477" s="17"/>
      <c r="E477" s="17" t="s">
        <v>1315</v>
      </c>
      <c r="F477" s="19"/>
      <c r="G477" s="20">
        <v>1.0</v>
      </c>
      <c r="H477" s="21"/>
      <c r="I477" s="21">
        <v>520.0</v>
      </c>
      <c r="J477" s="22">
        <v>14.0</v>
      </c>
      <c r="K477" s="50"/>
      <c r="L477" s="21" t="str">
        <f>IF(K477&gt;0,K477*I477,"")</f>
      </c>
      <c r="M477" s="52"/>
      <c r="N477" t="str">
        <f>IF(K477&gt;0,COUNTIF($K$7:K477,"&gt;0"),"")</f>
      </c>
      <c r="O477" t="s">
        <v>1322</v>
      </c>
      <c r="P477" t="s">
        <v>1320</v>
      </c>
      <c r="Q477" t="s">
        <v>1320</v>
      </c>
    </row>
    <row r="478" spans="1:18" customHeight="1" ht="58">
      <c r="A478" s="16"/>
      <c r="B478" s="18" t="s">
        <v>1309</v>
      </c>
      <c r="C478" s="17" t="s">
        <v>1324</v>
      </c>
      <c r="D478" s="17"/>
      <c r="E478" s="17" t="s">
        <v>1233</v>
      </c>
      <c r="F478" s="19"/>
      <c r="G478" s="20">
        <v>1.0</v>
      </c>
      <c r="H478" s="21"/>
      <c r="I478" s="21">
        <v>249.0</v>
      </c>
      <c r="J478" s="22">
        <v>15.0</v>
      </c>
      <c r="K478" s="50"/>
      <c r="L478" s="21" t="str">
        <f>IF(K478&gt;0,K478*I478,"")</f>
      </c>
      <c r="M478" s="52"/>
      <c r="N478" t="str">
        <f>IF(K478&gt;0,COUNTIF($K$7:K478,"&gt;0"),"")</f>
      </c>
      <c r="O478" t="s">
        <v>1325</v>
      </c>
      <c r="P478" t="s">
        <v>1323</v>
      </c>
      <c r="Q478" t="s">
        <v>1323</v>
      </c>
    </row>
    <row r="479" spans="1:18" customHeight="1" ht="58">
      <c r="A479" s="16"/>
      <c r="B479" s="18" t="s">
        <v>1309</v>
      </c>
      <c r="C479" s="17" t="s">
        <v>1327</v>
      </c>
      <c r="D479" s="17"/>
      <c r="E479" s="17"/>
      <c r="F479" s="19"/>
      <c r="G479" s="20">
        <v>1.0</v>
      </c>
      <c r="H479" s="21"/>
      <c r="I479" s="21">
        <v>497.0</v>
      </c>
      <c r="J479" s="22">
        <v>3.0</v>
      </c>
      <c r="K479" s="50"/>
      <c r="L479" s="21" t="str">
        <f>IF(K479&gt;0,K479*I479,"")</f>
      </c>
      <c r="M479" s="52"/>
      <c r="N479" t="str">
        <f>IF(K479&gt;0,COUNTIF($K$7:K479,"&gt;0"),"")</f>
      </c>
      <c r="O479" t="s">
        <v>1328</v>
      </c>
      <c r="P479" t="s">
        <v>1326</v>
      </c>
      <c r="Q479" t="s">
        <v>1326</v>
      </c>
    </row>
    <row r="480" spans="1:18" customHeight="1" ht="58">
      <c r="A480" s="16"/>
      <c r="B480" s="18" t="s">
        <v>1309</v>
      </c>
      <c r="C480" s="17" t="s">
        <v>1330</v>
      </c>
      <c r="D480" s="17"/>
      <c r="E480" s="17" t="s">
        <v>1293</v>
      </c>
      <c r="F480" s="19"/>
      <c r="G480" s="20">
        <v>1.0</v>
      </c>
      <c r="H480" s="21"/>
      <c r="I480" s="21">
        <v>249.0</v>
      </c>
      <c r="J480" s="22">
        <v>16.0</v>
      </c>
      <c r="K480" s="50"/>
      <c r="L480" s="21" t="str">
        <f>IF(K480&gt;0,K480*I480,"")</f>
      </c>
      <c r="M480" s="52"/>
      <c r="N480" t="str">
        <f>IF(K480&gt;0,COUNTIF($K$7:K480,"&gt;0"),"")</f>
      </c>
      <c r="O480" t="s">
        <v>1331</v>
      </c>
      <c r="P480" t="s">
        <v>1329</v>
      </c>
      <c r="Q480" t="s">
        <v>1329</v>
      </c>
    </row>
    <row r="481" spans="1:18" customHeight="1" ht="58">
      <c r="A481" s="16"/>
      <c r="B481" s="18" t="s">
        <v>1309</v>
      </c>
      <c r="C481" s="17" t="s">
        <v>1333</v>
      </c>
      <c r="D481" s="17"/>
      <c r="E481" s="17" t="s">
        <v>1334</v>
      </c>
      <c r="F481" s="19"/>
      <c r="G481" s="20">
        <v>1.0</v>
      </c>
      <c r="H481" s="21"/>
      <c r="I481" s="21">
        <v>520.0</v>
      </c>
      <c r="J481" s="22">
        <v>4.0</v>
      </c>
      <c r="K481" s="50"/>
      <c r="L481" s="21" t="str">
        <f>IF(K481&gt;0,K481*I481,"")</f>
      </c>
      <c r="M481" s="52"/>
      <c r="N481" t="str">
        <f>IF(K481&gt;0,COUNTIF($K$7:K481,"&gt;0"),"")</f>
      </c>
      <c r="O481" t="s">
        <v>1335</v>
      </c>
      <c r="P481" t="s">
        <v>1332</v>
      </c>
      <c r="Q481" t="s">
        <v>1332</v>
      </c>
    </row>
    <row r="482" spans="1:18" customHeight="1" ht="58">
      <c r="A482" s="16"/>
      <c r="B482" s="18" t="s">
        <v>1337</v>
      </c>
      <c r="C482" s="17" t="s">
        <v>1338</v>
      </c>
      <c r="D482" s="17" t="s">
        <v>1339</v>
      </c>
      <c r="E482" s="17" t="s">
        <v>35</v>
      </c>
      <c r="F482" s="19"/>
      <c r="G482" s="20">
        <v>1.0</v>
      </c>
      <c r="H482" s="21"/>
      <c r="I482" s="21">
        <v>335.0</v>
      </c>
      <c r="J482" s="22">
        <v>2.0</v>
      </c>
      <c r="K482" s="50"/>
      <c r="L482" s="21" t="str">
        <f>IF(K482&gt;0,K482*I482,"")</f>
      </c>
      <c r="M482" s="52"/>
      <c r="N482" t="str">
        <f>IF(K482&gt;0,COUNTIF($K$7:K482,"&gt;0"),"")</f>
      </c>
      <c r="O482" t="s">
        <v>1340</v>
      </c>
      <c r="P482" t="s">
        <v>1336</v>
      </c>
      <c r="Q482" t="s">
        <v>1336</v>
      </c>
    </row>
    <row r="483" spans="1:18" customHeight="1" ht="58">
      <c r="A483" s="16"/>
      <c r="B483" s="18" t="s">
        <v>1337</v>
      </c>
      <c r="C483" s="17" t="s">
        <v>1338</v>
      </c>
      <c r="D483" s="17" t="s">
        <v>1342</v>
      </c>
      <c r="E483" s="17" t="s">
        <v>35</v>
      </c>
      <c r="F483" s="19"/>
      <c r="G483" s="20">
        <v>1.0</v>
      </c>
      <c r="H483" s="21"/>
      <c r="I483" s="21">
        <v>335.0</v>
      </c>
      <c r="J483" s="22">
        <v>4.0</v>
      </c>
      <c r="K483" s="50"/>
      <c r="L483" s="21" t="str">
        <f>IF(K483&gt;0,K483*I483,"")</f>
      </c>
      <c r="M483" s="52"/>
      <c r="N483" t="str">
        <f>IF(K483&gt;0,COUNTIF($K$7:K483,"&gt;0"),"")</f>
      </c>
      <c r="O483" t="s">
        <v>1343</v>
      </c>
      <c r="P483" t="s">
        <v>1341</v>
      </c>
      <c r="Q483" t="s">
        <v>1341</v>
      </c>
    </row>
    <row r="484" spans="1:18" customHeight="1" ht="58">
      <c r="A484" s="16"/>
      <c r="B484" s="18" t="s">
        <v>1337</v>
      </c>
      <c r="C484" s="17" t="s">
        <v>1338</v>
      </c>
      <c r="D484" s="17" t="s">
        <v>1345</v>
      </c>
      <c r="E484" s="17" t="s">
        <v>35</v>
      </c>
      <c r="F484" s="19"/>
      <c r="G484" s="20">
        <v>1.0</v>
      </c>
      <c r="H484" s="21"/>
      <c r="I484" s="21">
        <v>335.0</v>
      </c>
      <c r="J484" s="22">
        <v>17.0</v>
      </c>
      <c r="K484" s="50"/>
      <c r="L484" s="21" t="str">
        <f>IF(K484&gt;0,K484*I484,"")</f>
      </c>
      <c r="M484" s="52"/>
      <c r="N484" t="str">
        <f>IF(K484&gt;0,COUNTIF($K$7:K484,"&gt;0"),"")</f>
      </c>
      <c r="O484" t="s">
        <v>1346</v>
      </c>
      <c r="P484" t="s">
        <v>1344</v>
      </c>
      <c r="Q484" t="s">
        <v>1344</v>
      </c>
    </row>
    <row r="485" spans="1:18" customHeight="1" ht="58">
      <c r="A485" s="16"/>
      <c r="B485" s="18" t="s">
        <v>1348</v>
      </c>
      <c r="C485" s="17" t="s">
        <v>1349</v>
      </c>
      <c r="D485" s="17" t="s">
        <v>1350</v>
      </c>
      <c r="E485" s="17" t="s">
        <v>1351</v>
      </c>
      <c r="F485" s="19"/>
      <c r="G485" s="20">
        <v>1.0</v>
      </c>
      <c r="H485" s="21"/>
      <c r="I485" s="21">
        <v>474.0</v>
      </c>
      <c r="J485" s="22">
        <v>21.0</v>
      </c>
      <c r="K485" s="50"/>
      <c r="L485" s="21" t="str">
        <f>IF(K485&gt;0,K485*I485,"")</f>
      </c>
      <c r="M485" s="52"/>
      <c r="N485" t="str">
        <f>IF(K485&gt;0,COUNTIF($K$7:K485,"&gt;0"),"")</f>
      </c>
      <c r="O485" t="s">
        <v>1352</v>
      </c>
      <c r="P485" t="s">
        <v>1347</v>
      </c>
      <c r="Q485" t="s">
        <v>1347</v>
      </c>
    </row>
    <row r="486" spans="1:18" customHeight="1" ht="58">
      <c r="A486" s="16"/>
      <c r="B486" s="18" t="s">
        <v>1348</v>
      </c>
      <c r="C486" s="17" t="s">
        <v>1349</v>
      </c>
      <c r="D486" s="17" t="s">
        <v>1354</v>
      </c>
      <c r="E486" s="17" t="s">
        <v>1351</v>
      </c>
      <c r="F486" s="19"/>
      <c r="G486" s="20">
        <v>1.0</v>
      </c>
      <c r="H486" s="21"/>
      <c r="I486" s="21">
        <v>474.0</v>
      </c>
      <c r="J486" s="22">
        <v>16.0</v>
      </c>
      <c r="K486" s="50"/>
      <c r="L486" s="21" t="str">
        <f>IF(K486&gt;0,K486*I486,"")</f>
      </c>
      <c r="M486" s="52"/>
      <c r="N486" t="str">
        <f>IF(K486&gt;0,COUNTIF($K$7:K486,"&gt;0"),"")</f>
      </c>
      <c r="O486" t="s">
        <v>1355</v>
      </c>
      <c r="P486" t="s">
        <v>1353</v>
      </c>
      <c r="Q486" t="s">
        <v>1353</v>
      </c>
    </row>
    <row r="487" spans="1:18" customHeight="1" ht="58">
      <c r="A487" s="16"/>
      <c r="B487" s="18" t="s">
        <v>1357</v>
      </c>
      <c r="C487" s="17" t="s">
        <v>1358</v>
      </c>
      <c r="D487" s="17" t="s">
        <v>1359</v>
      </c>
      <c r="E487" s="17" t="s">
        <v>1187</v>
      </c>
      <c r="F487" s="19"/>
      <c r="G487" s="20">
        <v>1.0</v>
      </c>
      <c r="H487" s="21"/>
      <c r="I487" s="21">
        <v>624.0</v>
      </c>
      <c r="J487" s="22">
        <v>1.0</v>
      </c>
      <c r="K487" s="50"/>
      <c r="L487" s="21" t="str">
        <f>IF(K487&gt;0,K487*I487,"")</f>
      </c>
      <c r="M487" s="52"/>
      <c r="N487" t="str">
        <f>IF(K487&gt;0,COUNTIF($K$7:K487,"&gt;0"),"")</f>
      </c>
      <c r="O487" t="s">
        <v>1360</v>
      </c>
      <c r="P487" t="s">
        <v>1356</v>
      </c>
      <c r="Q487" t="s">
        <v>1356</v>
      </c>
    </row>
    <row r="488" spans="1:18" customHeight="1" ht="58">
      <c r="A488" s="16"/>
      <c r="B488" s="18" t="s">
        <v>1362</v>
      </c>
      <c r="C488" s="17" t="s">
        <v>1363</v>
      </c>
      <c r="D488" s="17"/>
      <c r="E488" s="17" t="s">
        <v>1364</v>
      </c>
      <c r="F488" s="19"/>
      <c r="G488" s="20">
        <v>1.0</v>
      </c>
      <c r="H488" s="21"/>
      <c r="I488" s="21">
        <v>376.0</v>
      </c>
      <c r="J488" s="22">
        <v>7.0</v>
      </c>
      <c r="K488" s="50"/>
      <c r="L488" s="21" t="str">
        <f>IF(K488&gt;0,K488*I488,"")</f>
      </c>
      <c r="M488" s="52"/>
      <c r="N488" t="str">
        <f>IF(K488&gt;0,COUNTIF($K$7:K488,"&gt;0"),"")</f>
      </c>
      <c r="O488" t="s">
        <v>1365</v>
      </c>
      <c r="P488" t="s">
        <v>1361</v>
      </c>
      <c r="Q488" t="s">
        <v>1361</v>
      </c>
    </row>
    <row r="489" spans="1:18" customHeight="1" ht="58">
      <c r="A489" s="16"/>
      <c r="B489" s="18" t="s">
        <v>1362</v>
      </c>
      <c r="C489" s="17" t="s">
        <v>1367</v>
      </c>
      <c r="D489" s="17"/>
      <c r="E489" s="17" t="s">
        <v>1368</v>
      </c>
      <c r="F489" s="19"/>
      <c r="G489" s="20">
        <v>1.0</v>
      </c>
      <c r="H489" s="21"/>
      <c r="I489" s="21">
        <v>797.0</v>
      </c>
      <c r="J489" s="22">
        <v>6.0</v>
      </c>
      <c r="K489" s="50"/>
      <c r="L489" s="21" t="str">
        <f>IF(K489&gt;0,K489*I489,"")</f>
      </c>
      <c r="M489" s="52"/>
      <c r="N489" t="str">
        <f>IF(K489&gt;0,COUNTIF($K$7:K489,"&gt;0"),"")</f>
      </c>
      <c r="O489" t="s">
        <v>1369</v>
      </c>
      <c r="P489" t="s">
        <v>1366</v>
      </c>
      <c r="Q489" t="s">
        <v>1366</v>
      </c>
    </row>
    <row r="490" spans="1:18" customHeight="1" ht="58">
      <c r="A490" s="16"/>
      <c r="B490" s="18" t="s">
        <v>1362</v>
      </c>
      <c r="C490" s="17" t="s">
        <v>1371</v>
      </c>
      <c r="D490" s="17"/>
      <c r="E490" s="17" t="s">
        <v>1368</v>
      </c>
      <c r="F490" s="19"/>
      <c r="G490" s="20">
        <v>1.0</v>
      </c>
      <c r="H490" s="21"/>
      <c r="I490" s="21">
        <v>797.0</v>
      </c>
      <c r="J490" s="22">
        <v>1.0</v>
      </c>
      <c r="K490" s="50"/>
      <c r="L490" s="21" t="str">
        <f>IF(K490&gt;0,K490*I490,"")</f>
      </c>
      <c r="M490" s="52"/>
      <c r="N490" t="str">
        <f>IF(K490&gt;0,COUNTIF($K$7:K490,"&gt;0"),"")</f>
      </c>
      <c r="O490" t="s">
        <v>1372</v>
      </c>
      <c r="P490" t="s">
        <v>1370</v>
      </c>
      <c r="Q490" t="s">
        <v>1370</v>
      </c>
    </row>
    <row r="491" spans="1:18" customHeight="1" ht="58">
      <c r="A491" s="16"/>
      <c r="B491" s="18" t="s">
        <v>1374</v>
      </c>
      <c r="C491" s="17" t="s">
        <v>1375</v>
      </c>
      <c r="D491" s="17"/>
      <c r="E491" s="17" t="s">
        <v>1376</v>
      </c>
      <c r="F491" s="19"/>
      <c r="G491" s="20">
        <v>1.0</v>
      </c>
      <c r="H491" s="21"/>
      <c r="I491" s="21">
        <v>353.0</v>
      </c>
      <c r="J491" s="22">
        <v>1.0</v>
      </c>
      <c r="K491" s="50"/>
      <c r="L491" s="21" t="str">
        <f>IF(K491&gt;0,K491*I491,"")</f>
      </c>
      <c r="M491" s="52"/>
      <c r="N491" t="str">
        <f>IF(K491&gt;0,COUNTIF($K$7:K491,"&gt;0"),"")</f>
      </c>
      <c r="O491" t="s">
        <v>1377</v>
      </c>
      <c r="P491" t="s">
        <v>1373</v>
      </c>
      <c r="Q491" t="s">
        <v>1373</v>
      </c>
    </row>
    <row r="492" spans="1:18" customHeight="1" ht="58">
      <c r="A492" s="16"/>
      <c r="B492" s="18" t="s">
        <v>1374</v>
      </c>
      <c r="C492" s="17" t="s">
        <v>1379</v>
      </c>
      <c r="D492" s="17"/>
      <c r="E492" s="17" t="s">
        <v>1380</v>
      </c>
      <c r="F492" s="19"/>
      <c r="G492" s="20">
        <v>1.0</v>
      </c>
      <c r="H492" s="21"/>
      <c r="I492" s="21">
        <v>520.0</v>
      </c>
      <c r="J492" s="22">
        <v>7.0</v>
      </c>
      <c r="K492" s="50"/>
      <c r="L492" s="21" t="str">
        <f>IF(K492&gt;0,K492*I492,"")</f>
      </c>
      <c r="M492" s="52"/>
      <c r="N492" t="str">
        <f>IF(K492&gt;0,COUNTIF($K$7:K492,"&gt;0"),"")</f>
      </c>
      <c r="O492" t="s">
        <v>1381</v>
      </c>
      <c r="P492" t="s">
        <v>1378</v>
      </c>
      <c r="Q492" t="s">
        <v>1378</v>
      </c>
    </row>
    <row r="493" spans="1:18" customHeight="1" ht="58">
      <c r="A493" s="16"/>
      <c r="B493" s="18" t="s">
        <v>1374</v>
      </c>
      <c r="C493" s="17" t="s">
        <v>1383</v>
      </c>
      <c r="D493" s="17"/>
      <c r="E493" s="17" t="s">
        <v>1376</v>
      </c>
      <c r="F493" s="19"/>
      <c r="G493" s="20">
        <v>1.0</v>
      </c>
      <c r="H493" s="21"/>
      <c r="I493" s="21">
        <v>353.0</v>
      </c>
      <c r="J493" s="22">
        <v>5.0</v>
      </c>
      <c r="K493" s="50"/>
      <c r="L493" s="21" t="str">
        <f>IF(K493&gt;0,K493*I493,"")</f>
      </c>
      <c r="M493" s="52"/>
      <c r="N493" t="str">
        <f>IF(K493&gt;0,COUNTIF($K$7:K493,"&gt;0"),"")</f>
      </c>
      <c r="O493" t="s">
        <v>1384</v>
      </c>
      <c r="P493" t="s">
        <v>1382</v>
      </c>
      <c r="Q493" t="s">
        <v>1382</v>
      </c>
    </row>
    <row r="494" spans="1:18" customHeight="1" ht="58">
      <c r="A494" s="16"/>
      <c r="B494" s="18" t="s">
        <v>1374</v>
      </c>
      <c r="C494" s="17" t="s">
        <v>1386</v>
      </c>
      <c r="D494" s="17"/>
      <c r="E494" s="17" t="s">
        <v>1380</v>
      </c>
      <c r="F494" s="19"/>
      <c r="G494" s="20">
        <v>1.0</v>
      </c>
      <c r="H494" s="21"/>
      <c r="I494" s="21">
        <v>520.0</v>
      </c>
      <c r="J494" s="22">
        <v>2.0</v>
      </c>
      <c r="K494" s="50"/>
      <c r="L494" s="21" t="str">
        <f>IF(K494&gt;0,K494*I494,"")</f>
      </c>
      <c r="M494" s="52"/>
      <c r="N494" t="str">
        <f>IF(K494&gt;0,COUNTIF($K$7:K494,"&gt;0"),"")</f>
      </c>
      <c r="O494" t="s">
        <v>1387</v>
      </c>
      <c r="P494" t="s">
        <v>1385</v>
      </c>
      <c r="Q494" t="s">
        <v>1385</v>
      </c>
    </row>
    <row r="495" spans="1:18" customHeight="1" ht="58">
      <c r="A495" s="16"/>
      <c r="B495" s="18" t="s">
        <v>1374</v>
      </c>
      <c r="C495" s="17" t="s">
        <v>1389</v>
      </c>
      <c r="D495" s="17"/>
      <c r="E495" s="17" t="s">
        <v>1390</v>
      </c>
      <c r="F495" s="19"/>
      <c r="G495" s="20">
        <v>1.0</v>
      </c>
      <c r="H495" s="21"/>
      <c r="I495" s="21">
        <v>797.0</v>
      </c>
      <c r="J495" s="22">
        <v>7.0</v>
      </c>
      <c r="K495" s="50"/>
      <c r="L495" s="21" t="str">
        <f>IF(K495&gt;0,K495*I495,"")</f>
      </c>
      <c r="M495" s="52"/>
      <c r="N495" t="str">
        <f>IF(K495&gt;0,COUNTIF($K$7:K495,"&gt;0"),"")</f>
      </c>
      <c r="O495" t="s">
        <v>1391</v>
      </c>
      <c r="P495" t="s">
        <v>1388</v>
      </c>
      <c r="Q495" t="s">
        <v>1388</v>
      </c>
    </row>
    <row r="496" spans="1:18" customHeight="1" ht="58">
      <c r="A496" s="16"/>
      <c r="B496" s="18" t="s">
        <v>1374</v>
      </c>
      <c r="C496" s="17" t="s">
        <v>1393</v>
      </c>
      <c r="D496" s="17"/>
      <c r="E496" s="17" t="s">
        <v>1376</v>
      </c>
      <c r="F496" s="19"/>
      <c r="G496" s="20">
        <v>1.0</v>
      </c>
      <c r="H496" s="21"/>
      <c r="I496" s="21"/>
      <c r="J496" s="22">
        <v>2.0</v>
      </c>
      <c r="K496" s="50"/>
      <c r="L496" s="21" t="str">
        <f>IF(K496&gt;0,"по запросу","")</f>
      </c>
      <c r="M496" s="52"/>
      <c r="N496" t="str">
        <f>IF(K496&gt;0,COUNTIF($K$7:K496,"&gt;0"),"")</f>
      </c>
      <c r="O496" t="s">
        <v>1394</v>
      </c>
      <c r="P496" t="s">
        <v>1392</v>
      </c>
      <c r="Q496" t="s">
        <v>1392</v>
      </c>
    </row>
    <row r="497" spans="1:18" customHeight="1" ht="58">
      <c r="A497" s="16"/>
      <c r="B497" s="18" t="s">
        <v>1374</v>
      </c>
      <c r="C497" s="17" t="s">
        <v>1396</v>
      </c>
      <c r="D497" s="17"/>
      <c r="E497" s="17" t="s">
        <v>1380</v>
      </c>
      <c r="F497" s="19"/>
      <c r="G497" s="20">
        <v>1.0</v>
      </c>
      <c r="H497" s="21"/>
      <c r="I497" s="21">
        <v>520.0</v>
      </c>
      <c r="J497" s="22">
        <v>12.0</v>
      </c>
      <c r="K497" s="50"/>
      <c r="L497" s="21" t="str">
        <f>IF(K497&gt;0,K497*I497,"")</f>
      </c>
      <c r="M497" s="52"/>
      <c r="N497" t="str">
        <f>IF(K497&gt;0,COUNTIF($K$7:K497,"&gt;0"),"")</f>
      </c>
      <c r="O497" t="s">
        <v>1397</v>
      </c>
      <c r="P497" t="s">
        <v>1395</v>
      </c>
      <c r="Q497" t="s">
        <v>1395</v>
      </c>
    </row>
    <row r="498" spans="1:18" customHeight="1" ht="58">
      <c r="A498" s="16"/>
      <c r="B498" s="18" t="s">
        <v>1374</v>
      </c>
      <c r="C498" s="17" t="s">
        <v>1399</v>
      </c>
      <c r="D498" s="17"/>
      <c r="E498" s="17" t="s">
        <v>1390</v>
      </c>
      <c r="F498" s="19"/>
      <c r="G498" s="20">
        <v>1.0</v>
      </c>
      <c r="H498" s="21"/>
      <c r="I498" s="21">
        <v>797.0</v>
      </c>
      <c r="J498" s="22">
        <v>10.0</v>
      </c>
      <c r="K498" s="50"/>
      <c r="L498" s="21" t="str">
        <f>IF(K498&gt;0,K498*I498,"")</f>
      </c>
      <c r="M498" s="52"/>
      <c r="N498" t="str">
        <f>IF(K498&gt;0,COUNTIF($K$7:K498,"&gt;0"),"")</f>
      </c>
      <c r="O498" t="s">
        <v>1400</v>
      </c>
      <c r="P498" t="s">
        <v>1398</v>
      </c>
      <c r="Q498" t="s">
        <v>1398</v>
      </c>
    </row>
    <row r="499" spans="1:18" customHeight="1" ht="58">
      <c r="A499" s="16"/>
      <c r="B499" s="18" t="s">
        <v>1402</v>
      </c>
      <c r="C499" s="17" t="s">
        <v>1403</v>
      </c>
      <c r="D499" s="17" t="s">
        <v>1404</v>
      </c>
      <c r="E499" s="17" t="s">
        <v>1405</v>
      </c>
      <c r="F499" s="19"/>
      <c r="G499" s="20">
        <v>1.0</v>
      </c>
      <c r="H499" s="21"/>
      <c r="I499" s="21">
        <v>913.0</v>
      </c>
      <c r="J499" s="22">
        <v>1.0</v>
      </c>
      <c r="K499" s="50"/>
      <c r="L499" s="21" t="str">
        <f>IF(K499&gt;0,K499*I499,"")</f>
      </c>
      <c r="M499" s="52"/>
      <c r="N499" t="str">
        <f>IF(K499&gt;0,COUNTIF($K$7:K499,"&gt;0"),"")</f>
      </c>
      <c r="O499" t="s">
        <v>1406</v>
      </c>
      <c r="P499" t="s">
        <v>1401</v>
      </c>
      <c r="Q499" t="s">
        <v>1401</v>
      </c>
    </row>
    <row r="500" spans="1:18" customHeight="1" ht="58">
      <c r="A500" s="16"/>
      <c r="B500" s="18" t="s">
        <v>1408</v>
      </c>
      <c r="C500" s="17" t="s">
        <v>1409</v>
      </c>
      <c r="D500" s="17"/>
      <c r="E500" s="17" t="s">
        <v>1237</v>
      </c>
      <c r="F500" s="19"/>
      <c r="G500" s="20">
        <v>1.0</v>
      </c>
      <c r="H500" s="21"/>
      <c r="I500" s="21">
        <v>492.0</v>
      </c>
      <c r="J500" s="22">
        <v>12.0</v>
      </c>
      <c r="K500" s="50"/>
      <c r="L500" s="21" t="str">
        <f>IF(K500&gt;0,K500*I500,"")</f>
      </c>
      <c r="M500" s="52"/>
      <c r="N500" t="str">
        <f>IF(K500&gt;0,COUNTIF($K$7:K500,"&gt;0"),"")</f>
      </c>
      <c r="O500" t="s">
        <v>1410</v>
      </c>
      <c r="P500" t="s">
        <v>1407</v>
      </c>
      <c r="Q500" t="s">
        <v>1407</v>
      </c>
    </row>
    <row r="501" spans="1:18" customHeight="1" ht="58">
      <c r="A501" s="16"/>
      <c r="B501" s="18" t="s">
        <v>1408</v>
      </c>
      <c r="C501" s="17" t="s">
        <v>1412</v>
      </c>
      <c r="D501" s="17"/>
      <c r="E501" s="17" t="s">
        <v>1297</v>
      </c>
      <c r="F501" s="19"/>
      <c r="G501" s="20">
        <v>1.0</v>
      </c>
      <c r="H501" s="21"/>
      <c r="I501" s="21">
        <v>342.0</v>
      </c>
      <c r="J501" s="22">
        <v>12.0</v>
      </c>
      <c r="K501" s="50"/>
      <c r="L501" s="21" t="str">
        <f>IF(K501&gt;0,K501*I501,"")</f>
      </c>
      <c r="M501" s="52"/>
      <c r="N501" t="str">
        <f>IF(K501&gt;0,COUNTIF($K$7:K501,"&gt;0"),"")</f>
      </c>
      <c r="O501" t="s">
        <v>1413</v>
      </c>
      <c r="P501" t="s">
        <v>1411</v>
      </c>
      <c r="Q501" t="s">
        <v>1411</v>
      </c>
    </row>
    <row r="502" spans="1:18" customHeight="1" ht="58">
      <c r="A502" s="16"/>
      <c r="B502" s="18" t="s">
        <v>1408</v>
      </c>
      <c r="C502" s="17" t="s">
        <v>1415</v>
      </c>
      <c r="D502" s="17"/>
      <c r="E502" s="17" t="s">
        <v>1237</v>
      </c>
      <c r="F502" s="19"/>
      <c r="G502" s="20">
        <v>1.0</v>
      </c>
      <c r="H502" s="21"/>
      <c r="I502" s="21">
        <v>492.0</v>
      </c>
      <c r="J502" s="22">
        <v>8.0</v>
      </c>
      <c r="K502" s="50"/>
      <c r="L502" s="21" t="str">
        <f>IF(K502&gt;0,K502*I502,"")</f>
      </c>
      <c r="M502" s="52"/>
      <c r="N502" t="str">
        <f>IF(K502&gt;0,COUNTIF($K$7:K502,"&gt;0"),"")</f>
      </c>
      <c r="O502" t="s">
        <v>1416</v>
      </c>
      <c r="P502" t="s">
        <v>1414</v>
      </c>
      <c r="Q502" t="s">
        <v>1414</v>
      </c>
    </row>
    <row r="503" spans="1:18" customHeight="1" ht="58">
      <c r="A503" s="16"/>
      <c r="B503" s="18" t="s">
        <v>1418</v>
      </c>
      <c r="C503" s="17" t="s">
        <v>1419</v>
      </c>
      <c r="D503" s="17"/>
      <c r="E503" s="17" t="s">
        <v>1420</v>
      </c>
      <c r="F503" s="19"/>
      <c r="G503" s="20">
        <v>1.0</v>
      </c>
      <c r="H503" s="21"/>
      <c r="I503" s="21">
        <v>797.0</v>
      </c>
      <c r="J503" s="22">
        <v>2.0</v>
      </c>
      <c r="K503" s="50"/>
      <c r="L503" s="21" t="str">
        <f>IF(K503&gt;0,K503*I503,"")</f>
      </c>
      <c r="M503" s="52"/>
      <c r="N503" t="str">
        <f>IF(K503&gt;0,COUNTIF($K$7:K503,"&gt;0"),"")</f>
      </c>
      <c r="O503" t="s">
        <v>1421</v>
      </c>
      <c r="P503" t="s">
        <v>1417</v>
      </c>
      <c r="Q503" t="s">
        <v>1417</v>
      </c>
    </row>
    <row r="504" spans="1:18" customHeight="1" ht="58">
      <c r="A504" s="16"/>
      <c r="B504" s="18" t="s">
        <v>1423</v>
      </c>
      <c r="C504" s="17" t="s">
        <v>1424</v>
      </c>
      <c r="D504" s="17"/>
      <c r="E504" s="17" t="s">
        <v>1380</v>
      </c>
      <c r="F504" s="19"/>
      <c r="G504" s="20">
        <v>1.0</v>
      </c>
      <c r="H504" s="21"/>
      <c r="I504" s="21">
        <v>342.0</v>
      </c>
      <c r="J504" s="22">
        <v>2.0</v>
      </c>
      <c r="K504" s="50"/>
      <c r="L504" s="21" t="str">
        <f>IF(K504&gt;0,K504*I504,"")</f>
      </c>
      <c r="M504" s="52"/>
      <c r="N504" t="str">
        <f>IF(K504&gt;0,COUNTIF($K$7:K504,"&gt;0"),"")</f>
      </c>
      <c r="O504" t="s">
        <v>1425</v>
      </c>
      <c r="P504" t="s">
        <v>1422</v>
      </c>
      <c r="Q504" t="s">
        <v>1422</v>
      </c>
    </row>
    <row r="505" spans="1:18" customHeight="1" ht="58">
      <c r="A505" s="16"/>
      <c r="B505" s="18" t="s">
        <v>1427</v>
      </c>
      <c r="C505" s="17" t="s">
        <v>1428</v>
      </c>
      <c r="D505" s="17" t="s">
        <v>1429</v>
      </c>
      <c r="E505" s="17" t="s">
        <v>1430</v>
      </c>
      <c r="F505" s="19"/>
      <c r="G505" s="20">
        <v>1.0</v>
      </c>
      <c r="H505" s="21"/>
      <c r="I505" s="21">
        <v>243.0</v>
      </c>
      <c r="J505" s="22">
        <v>3.0</v>
      </c>
      <c r="K505" s="50"/>
      <c r="L505" s="21" t="str">
        <f>IF(K505&gt;0,K505*I505,"")</f>
      </c>
      <c r="M505" s="52"/>
      <c r="N505" t="str">
        <f>IF(K505&gt;0,COUNTIF($K$7:K505,"&gt;0"),"")</f>
      </c>
      <c r="O505" t="s">
        <v>1431</v>
      </c>
      <c r="P505" t="s">
        <v>1426</v>
      </c>
      <c r="Q505" t="s">
        <v>1426</v>
      </c>
    </row>
    <row r="506" spans="1:18" customHeight="1" ht="58">
      <c r="A506" s="16"/>
      <c r="B506" s="18" t="s">
        <v>1433</v>
      </c>
      <c r="C506" s="17" t="s">
        <v>1434</v>
      </c>
      <c r="D506" s="17"/>
      <c r="E506" s="17" t="s">
        <v>1376</v>
      </c>
      <c r="F506" s="19"/>
      <c r="G506" s="20">
        <v>1.0</v>
      </c>
      <c r="H506" s="21"/>
      <c r="I506" s="21">
        <v>278.0</v>
      </c>
      <c r="J506" s="22">
        <v>12.0</v>
      </c>
      <c r="K506" s="50"/>
      <c r="L506" s="21" t="str">
        <f>IF(K506&gt;0,K506*I506,"")</f>
      </c>
      <c r="M506" s="52"/>
      <c r="N506" t="str">
        <f>IF(K506&gt;0,COUNTIF($K$7:K506,"&gt;0"),"")</f>
      </c>
      <c r="O506" t="s">
        <v>1435</v>
      </c>
      <c r="P506" t="s">
        <v>1432</v>
      </c>
      <c r="Q506" t="s">
        <v>1432</v>
      </c>
    </row>
    <row r="507" spans="1:18" customHeight="1" ht="58">
      <c r="A507" s="16"/>
      <c r="B507" s="18" t="s">
        <v>1437</v>
      </c>
      <c r="C507" s="17" t="s">
        <v>1438</v>
      </c>
      <c r="D507" s="17"/>
      <c r="E507" s="17" t="s">
        <v>1439</v>
      </c>
      <c r="F507" s="19"/>
      <c r="G507" s="20">
        <v>1.0</v>
      </c>
      <c r="H507" s="21"/>
      <c r="I507" s="21">
        <v>353.0</v>
      </c>
      <c r="J507" s="22">
        <v>4.0</v>
      </c>
      <c r="K507" s="50"/>
      <c r="L507" s="21" t="str">
        <f>IF(K507&gt;0,K507*I507,"")</f>
      </c>
      <c r="M507" s="52"/>
      <c r="N507" t="str">
        <f>IF(K507&gt;0,COUNTIF($K$7:K507,"&gt;0"),"")</f>
      </c>
      <c r="O507" t="s">
        <v>1440</v>
      </c>
      <c r="P507" t="s">
        <v>1436</v>
      </c>
      <c r="Q507" t="s">
        <v>1436</v>
      </c>
    </row>
    <row r="508" spans="1:18" customHeight="1" ht="58">
      <c r="A508" s="16"/>
      <c r="B508" s="18" t="s">
        <v>1437</v>
      </c>
      <c r="C508" s="17" t="s">
        <v>1442</v>
      </c>
      <c r="D508" s="17"/>
      <c r="E508" s="17" t="s">
        <v>1443</v>
      </c>
      <c r="F508" s="19"/>
      <c r="G508" s="20">
        <v>1.0</v>
      </c>
      <c r="H508" s="21"/>
      <c r="I508" s="21">
        <v>520.0</v>
      </c>
      <c r="J508" s="22">
        <v>12.0</v>
      </c>
      <c r="K508" s="50"/>
      <c r="L508" s="21" t="str">
        <f>IF(K508&gt;0,K508*I508,"")</f>
      </c>
      <c r="M508" s="52"/>
      <c r="N508" t="str">
        <f>IF(K508&gt;0,COUNTIF($K$7:K508,"&gt;0"),"")</f>
      </c>
      <c r="O508" t="s">
        <v>1444</v>
      </c>
      <c r="P508" t="s">
        <v>1441</v>
      </c>
      <c r="Q508" t="s">
        <v>1441</v>
      </c>
    </row>
    <row r="509" spans="1:18" customHeight="1" ht="58">
      <c r="A509" s="16"/>
      <c r="B509" s="18" t="s">
        <v>1437</v>
      </c>
      <c r="C509" s="17" t="s">
        <v>1446</v>
      </c>
      <c r="D509" s="17"/>
      <c r="E509" s="17" t="s">
        <v>1447</v>
      </c>
      <c r="F509" s="19"/>
      <c r="G509" s="20">
        <v>1.0</v>
      </c>
      <c r="H509" s="21"/>
      <c r="I509" s="21">
        <v>249.0</v>
      </c>
      <c r="J509" s="22">
        <v>2.0</v>
      </c>
      <c r="K509" s="50"/>
      <c r="L509" s="21" t="str">
        <f>IF(K509&gt;0,K509*I509,"")</f>
      </c>
      <c r="M509" s="52"/>
      <c r="N509" t="str">
        <f>IF(K509&gt;0,COUNTIF($K$7:K509,"&gt;0"),"")</f>
      </c>
      <c r="O509" t="s">
        <v>1448</v>
      </c>
      <c r="P509" t="s">
        <v>1445</v>
      </c>
      <c r="Q509" t="s">
        <v>1445</v>
      </c>
    </row>
    <row r="510" spans="1:18" customHeight="1" ht="58">
      <c r="A510" s="16"/>
      <c r="B510" s="18" t="s">
        <v>1437</v>
      </c>
      <c r="C510" s="17" t="s">
        <v>1450</v>
      </c>
      <c r="D510" s="17"/>
      <c r="E510" s="17" t="s">
        <v>1439</v>
      </c>
      <c r="F510" s="19"/>
      <c r="G510" s="20">
        <v>1.0</v>
      </c>
      <c r="H510" s="21"/>
      <c r="I510" s="21">
        <v>353.0</v>
      </c>
      <c r="J510" s="22">
        <v>6.0</v>
      </c>
      <c r="K510" s="50"/>
      <c r="L510" s="21" t="str">
        <f>IF(K510&gt;0,K510*I510,"")</f>
      </c>
      <c r="M510" s="52"/>
      <c r="N510" t="str">
        <f>IF(K510&gt;0,COUNTIF($K$7:K510,"&gt;0"),"")</f>
      </c>
      <c r="O510" t="s">
        <v>1451</v>
      </c>
      <c r="P510" t="s">
        <v>1449</v>
      </c>
      <c r="Q510" t="s">
        <v>1449</v>
      </c>
    </row>
    <row r="511" spans="1:18" customHeight="1" ht="58">
      <c r="A511" s="16"/>
      <c r="B511" s="18" t="s">
        <v>1437</v>
      </c>
      <c r="C511" s="17" t="s">
        <v>1453</v>
      </c>
      <c r="D511" s="17"/>
      <c r="E511" s="17" t="s">
        <v>1276</v>
      </c>
      <c r="F511" s="19"/>
      <c r="G511" s="20">
        <v>1.0</v>
      </c>
      <c r="H511" s="21"/>
      <c r="I511" s="21">
        <v>520.0</v>
      </c>
      <c r="J511" s="22">
        <v>10.0</v>
      </c>
      <c r="K511" s="50"/>
      <c r="L511" s="21" t="str">
        <f>IF(K511&gt;0,K511*I511,"")</f>
      </c>
      <c r="M511" s="52"/>
      <c r="N511" t="str">
        <f>IF(K511&gt;0,COUNTIF($K$7:K511,"&gt;0"),"")</f>
      </c>
      <c r="O511" t="s">
        <v>1454</v>
      </c>
      <c r="P511" t="s">
        <v>1452</v>
      </c>
      <c r="Q511" t="s">
        <v>1452</v>
      </c>
    </row>
    <row r="512" spans="1:18" customHeight="1" ht="58">
      <c r="A512" s="16"/>
      <c r="B512" s="18" t="s">
        <v>1456</v>
      </c>
      <c r="C512" s="17" t="s">
        <v>1457</v>
      </c>
      <c r="D512" s="17"/>
      <c r="E512" s="17" t="s">
        <v>1276</v>
      </c>
      <c r="F512" s="19"/>
      <c r="G512" s="20">
        <v>1.0</v>
      </c>
      <c r="H512" s="21"/>
      <c r="I512" s="21">
        <v>520.0</v>
      </c>
      <c r="J512" s="22">
        <v>3.0</v>
      </c>
      <c r="K512" s="50"/>
      <c r="L512" s="21" t="str">
        <f>IF(K512&gt;0,K512*I512,"")</f>
      </c>
      <c r="M512" s="52"/>
      <c r="N512" t="str">
        <f>IF(K512&gt;0,COUNTIF($K$7:K512,"&gt;0"),"")</f>
      </c>
      <c r="O512" t="s">
        <v>1458</v>
      </c>
      <c r="P512" t="s">
        <v>1455</v>
      </c>
      <c r="Q512" t="s">
        <v>1455</v>
      </c>
    </row>
    <row r="513" spans="1:18" customHeight="1" ht="58">
      <c r="A513" s="16"/>
      <c r="B513" s="18" t="s">
        <v>1460</v>
      </c>
      <c r="C513" s="17" t="s">
        <v>1461</v>
      </c>
      <c r="D513" s="17"/>
      <c r="E513" s="17" t="s">
        <v>1447</v>
      </c>
      <c r="F513" s="19"/>
      <c r="G513" s="20">
        <v>1.0</v>
      </c>
      <c r="H513" s="21"/>
      <c r="I513" s="21">
        <v>249.0</v>
      </c>
      <c r="J513" s="22">
        <v>13.0</v>
      </c>
      <c r="K513" s="50"/>
      <c r="L513" s="21" t="str">
        <f>IF(K513&gt;0,K513*I513,"")</f>
      </c>
      <c r="M513" s="52"/>
      <c r="N513" t="str">
        <f>IF(K513&gt;0,COUNTIF($K$7:K513,"&gt;0"),"")</f>
      </c>
      <c r="O513" t="s">
        <v>1462</v>
      </c>
      <c r="P513" t="s">
        <v>1459</v>
      </c>
      <c r="Q513" t="s">
        <v>1459</v>
      </c>
    </row>
    <row r="514" spans="1:18" customHeight="1" ht="58">
      <c r="A514" s="16"/>
      <c r="B514" s="18" t="s">
        <v>1460</v>
      </c>
      <c r="C514" s="17" t="s">
        <v>1464</v>
      </c>
      <c r="D514" s="17"/>
      <c r="E514" s="17" t="s">
        <v>1439</v>
      </c>
      <c r="F514" s="19"/>
      <c r="G514" s="20">
        <v>1.0</v>
      </c>
      <c r="H514" s="21"/>
      <c r="I514" s="21">
        <v>353.0</v>
      </c>
      <c r="J514" s="22">
        <v>8.0</v>
      </c>
      <c r="K514" s="50"/>
      <c r="L514" s="21" t="str">
        <f>IF(K514&gt;0,K514*I514,"")</f>
      </c>
      <c r="M514" s="52"/>
      <c r="N514" t="str">
        <f>IF(K514&gt;0,COUNTIF($K$7:K514,"&gt;0"),"")</f>
      </c>
      <c r="O514" t="s">
        <v>1465</v>
      </c>
      <c r="P514" t="s">
        <v>1463</v>
      </c>
      <c r="Q514" t="s">
        <v>1463</v>
      </c>
    </row>
    <row r="515" spans="1:18" customHeight="1" ht="58">
      <c r="A515" s="16"/>
      <c r="B515" s="18" t="s">
        <v>1460</v>
      </c>
      <c r="C515" s="17" t="s">
        <v>1467</v>
      </c>
      <c r="D515" s="17"/>
      <c r="E515" s="17" t="s">
        <v>1276</v>
      </c>
      <c r="F515" s="19"/>
      <c r="G515" s="20">
        <v>1.0</v>
      </c>
      <c r="H515" s="21"/>
      <c r="I515" s="21">
        <v>520.0</v>
      </c>
      <c r="J515" s="22">
        <v>7.0</v>
      </c>
      <c r="K515" s="50"/>
      <c r="L515" s="21" t="str">
        <f>IF(K515&gt;0,K515*I515,"")</f>
      </c>
      <c r="M515" s="52"/>
      <c r="N515" t="str">
        <f>IF(K515&gt;0,COUNTIF($K$7:K515,"&gt;0"),"")</f>
      </c>
      <c r="O515" t="s">
        <v>1468</v>
      </c>
      <c r="P515" t="s">
        <v>1466</v>
      </c>
      <c r="Q515" t="s">
        <v>1466</v>
      </c>
    </row>
    <row r="516" spans="1:18" customHeight="1" ht="58">
      <c r="A516" s="16"/>
      <c r="B516" s="18" t="s">
        <v>1460</v>
      </c>
      <c r="C516" s="17" t="s">
        <v>1470</v>
      </c>
      <c r="D516" s="17"/>
      <c r="E516" s="17" t="s">
        <v>1439</v>
      </c>
      <c r="F516" s="19"/>
      <c r="G516" s="20">
        <v>1.0</v>
      </c>
      <c r="H516" s="21"/>
      <c r="I516" s="21">
        <v>353.0</v>
      </c>
      <c r="J516" s="22">
        <v>2.0</v>
      </c>
      <c r="K516" s="50"/>
      <c r="L516" s="21" t="str">
        <f>IF(K516&gt;0,K516*I516,"")</f>
      </c>
      <c r="M516" s="52"/>
      <c r="N516" t="str">
        <f>IF(K516&gt;0,COUNTIF($K$7:K516,"&gt;0"),"")</f>
      </c>
      <c r="O516" t="s">
        <v>1471</v>
      </c>
      <c r="P516" t="s">
        <v>1469</v>
      </c>
      <c r="Q516" t="s">
        <v>1469</v>
      </c>
    </row>
    <row r="517" spans="1:18" customHeight="1" ht="58">
      <c r="A517" s="16"/>
      <c r="B517" s="18" t="s">
        <v>1460</v>
      </c>
      <c r="C517" s="17" t="s">
        <v>1473</v>
      </c>
      <c r="D517" s="17"/>
      <c r="E517" s="17" t="s">
        <v>1447</v>
      </c>
      <c r="F517" s="19"/>
      <c r="G517" s="20">
        <v>1.0</v>
      </c>
      <c r="H517" s="21"/>
      <c r="I517" s="21">
        <v>249.0</v>
      </c>
      <c r="J517" s="22">
        <v>11.0</v>
      </c>
      <c r="K517" s="50"/>
      <c r="L517" s="21" t="str">
        <f>IF(K517&gt;0,K517*I517,"")</f>
      </c>
      <c r="M517" s="52"/>
      <c r="N517" t="str">
        <f>IF(K517&gt;0,COUNTIF($K$7:K517,"&gt;0"),"")</f>
      </c>
      <c r="O517" t="s">
        <v>1474</v>
      </c>
      <c r="P517" t="s">
        <v>1472</v>
      </c>
      <c r="Q517" t="s">
        <v>1472</v>
      </c>
    </row>
    <row r="518" spans="1:18" customHeight="1" ht="58">
      <c r="A518" s="16"/>
      <c r="B518" s="18" t="s">
        <v>1460</v>
      </c>
      <c r="C518" s="17" t="s">
        <v>1476</v>
      </c>
      <c r="D518" s="17"/>
      <c r="E518" s="17" t="s">
        <v>1439</v>
      </c>
      <c r="F518" s="19"/>
      <c r="G518" s="20">
        <v>1.0</v>
      </c>
      <c r="H518" s="21"/>
      <c r="I518" s="21">
        <v>353.0</v>
      </c>
      <c r="J518" s="22">
        <v>8.0</v>
      </c>
      <c r="K518" s="50"/>
      <c r="L518" s="21" t="str">
        <f>IF(K518&gt;0,K518*I518,"")</f>
      </c>
      <c r="M518" s="52"/>
      <c r="N518" t="str">
        <f>IF(K518&gt;0,COUNTIF($K$7:K518,"&gt;0"),"")</f>
      </c>
      <c r="O518" t="s">
        <v>1477</v>
      </c>
      <c r="P518" t="s">
        <v>1475</v>
      </c>
      <c r="Q518" t="s">
        <v>1475</v>
      </c>
    </row>
    <row r="519" spans="1:18" customHeight="1" ht="58">
      <c r="A519" s="16"/>
      <c r="B519" s="18" t="s">
        <v>1460</v>
      </c>
      <c r="C519" s="17" t="s">
        <v>1479</v>
      </c>
      <c r="D519" s="17"/>
      <c r="E519" s="17" t="s">
        <v>1276</v>
      </c>
      <c r="F519" s="19"/>
      <c r="G519" s="20">
        <v>1.0</v>
      </c>
      <c r="H519" s="21"/>
      <c r="I519" s="21">
        <v>520.0</v>
      </c>
      <c r="J519" s="22">
        <v>16.0</v>
      </c>
      <c r="K519" s="50"/>
      <c r="L519" s="21" t="str">
        <f>IF(K519&gt;0,K519*I519,"")</f>
      </c>
      <c r="M519" s="52"/>
      <c r="N519" t="str">
        <f>IF(K519&gt;0,COUNTIF($K$7:K519,"&gt;0"),"")</f>
      </c>
      <c r="O519" t="s">
        <v>1480</v>
      </c>
      <c r="P519" t="s">
        <v>1478</v>
      </c>
      <c r="Q519" t="s">
        <v>1478</v>
      </c>
    </row>
    <row r="520" spans="1:18" customHeight="1" ht="58">
      <c r="A520" s="16"/>
      <c r="B520" s="18" t="s">
        <v>1460</v>
      </c>
      <c r="C520" s="17" t="s">
        <v>1482</v>
      </c>
      <c r="D520" s="17"/>
      <c r="E520" s="17" t="s">
        <v>1439</v>
      </c>
      <c r="F520" s="19"/>
      <c r="G520" s="20">
        <v>1.0</v>
      </c>
      <c r="H520" s="21"/>
      <c r="I520" s="21">
        <v>353.0</v>
      </c>
      <c r="J520" s="22">
        <v>6.0</v>
      </c>
      <c r="K520" s="50"/>
      <c r="L520" s="21" t="str">
        <f>IF(K520&gt;0,K520*I520,"")</f>
      </c>
      <c r="M520" s="52"/>
      <c r="N520" t="str">
        <f>IF(K520&gt;0,COUNTIF($K$7:K520,"&gt;0"),"")</f>
      </c>
      <c r="O520" t="s">
        <v>1483</v>
      </c>
      <c r="P520" t="s">
        <v>1481</v>
      </c>
      <c r="Q520" t="s">
        <v>1481</v>
      </c>
    </row>
    <row r="521" spans="1:18" customHeight="1" ht="58">
      <c r="A521" s="16"/>
      <c r="B521" s="18" t="s">
        <v>1460</v>
      </c>
      <c r="C521" s="17" t="s">
        <v>1485</v>
      </c>
      <c r="D521" s="17"/>
      <c r="E521" s="17" t="s">
        <v>1276</v>
      </c>
      <c r="F521" s="19"/>
      <c r="G521" s="20">
        <v>1.0</v>
      </c>
      <c r="H521" s="21"/>
      <c r="I521" s="21">
        <v>520.0</v>
      </c>
      <c r="J521" s="22">
        <v>15.0</v>
      </c>
      <c r="K521" s="50"/>
      <c r="L521" s="21" t="str">
        <f>IF(K521&gt;0,K521*I521,"")</f>
      </c>
      <c r="M521" s="52"/>
      <c r="N521" t="str">
        <f>IF(K521&gt;0,COUNTIF($K$7:K521,"&gt;0"),"")</f>
      </c>
      <c r="O521" t="s">
        <v>1486</v>
      </c>
      <c r="P521" t="s">
        <v>1484</v>
      </c>
      <c r="Q521" t="s">
        <v>1484</v>
      </c>
    </row>
    <row r="522" spans="1:18" customHeight="1" ht="58">
      <c r="A522" s="16"/>
      <c r="B522" s="18" t="s">
        <v>1488</v>
      </c>
      <c r="C522" s="17" t="s">
        <v>1489</v>
      </c>
      <c r="D522" s="17"/>
      <c r="E522" s="17" t="s">
        <v>1447</v>
      </c>
      <c r="F522" s="19"/>
      <c r="G522" s="20">
        <v>1.0</v>
      </c>
      <c r="H522" s="21"/>
      <c r="I522" s="21">
        <v>249.0</v>
      </c>
      <c r="J522" s="22">
        <v>9.0</v>
      </c>
      <c r="K522" s="50"/>
      <c r="L522" s="21" t="str">
        <f>IF(K522&gt;0,K522*I522,"")</f>
      </c>
      <c r="M522" s="52"/>
      <c r="N522" t="str">
        <f>IF(K522&gt;0,COUNTIF($K$7:K522,"&gt;0"),"")</f>
      </c>
      <c r="O522" t="s">
        <v>1490</v>
      </c>
      <c r="P522" t="s">
        <v>1487</v>
      </c>
      <c r="Q522" t="s">
        <v>1487</v>
      </c>
    </row>
    <row r="523" spans="1:18" customHeight="1" ht="58">
      <c r="A523" s="16"/>
      <c r="B523" s="18" t="s">
        <v>1488</v>
      </c>
      <c r="C523" s="17" t="s">
        <v>1492</v>
      </c>
      <c r="D523" s="17"/>
      <c r="E523" s="17" t="s">
        <v>1276</v>
      </c>
      <c r="F523" s="19"/>
      <c r="G523" s="20">
        <v>1.0</v>
      </c>
      <c r="H523" s="21"/>
      <c r="I523" s="21">
        <v>520.0</v>
      </c>
      <c r="J523" s="22">
        <v>3.0</v>
      </c>
      <c r="K523" s="50"/>
      <c r="L523" s="21" t="str">
        <f>IF(K523&gt;0,K523*I523,"")</f>
      </c>
      <c r="M523" s="52"/>
      <c r="N523" t="str">
        <f>IF(K523&gt;0,COUNTIF($K$7:K523,"&gt;0"),"")</f>
      </c>
      <c r="O523" t="s">
        <v>1493</v>
      </c>
      <c r="P523" t="s">
        <v>1491</v>
      </c>
      <c r="Q523" t="s">
        <v>1491</v>
      </c>
    </row>
    <row r="524" spans="1:18" customHeight="1" ht="58">
      <c r="A524" s="16"/>
      <c r="B524" s="18" t="s">
        <v>1488</v>
      </c>
      <c r="C524" s="17" t="s">
        <v>1495</v>
      </c>
      <c r="D524" s="17"/>
      <c r="E524" s="17" t="s">
        <v>1439</v>
      </c>
      <c r="F524" s="19"/>
      <c r="G524" s="20">
        <v>1.0</v>
      </c>
      <c r="H524" s="21"/>
      <c r="I524" s="21">
        <v>353.0</v>
      </c>
      <c r="J524" s="22">
        <v>2.0</v>
      </c>
      <c r="K524" s="50"/>
      <c r="L524" s="21" t="str">
        <f>IF(K524&gt;0,K524*I524,"")</f>
      </c>
      <c r="M524" s="52"/>
      <c r="N524" t="str">
        <f>IF(K524&gt;0,COUNTIF($K$7:K524,"&gt;0"),"")</f>
      </c>
      <c r="O524" t="s">
        <v>1496</v>
      </c>
      <c r="P524" t="s">
        <v>1494</v>
      </c>
      <c r="Q524" t="s">
        <v>1494</v>
      </c>
    </row>
    <row r="525" spans="1:18" customHeight="1" ht="58">
      <c r="A525" s="16"/>
      <c r="B525" s="18" t="s">
        <v>1498</v>
      </c>
      <c r="C525" s="17" t="s">
        <v>1499</v>
      </c>
      <c r="D525" s="17"/>
      <c r="E525" s="17" t="s">
        <v>1233</v>
      </c>
      <c r="F525" s="19"/>
      <c r="G525" s="20">
        <v>1.0</v>
      </c>
      <c r="H525" s="21"/>
      <c r="I525" s="21">
        <v>278.0</v>
      </c>
      <c r="J525" s="22">
        <v>5.0</v>
      </c>
      <c r="K525" s="50"/>
      <c r="L525" s="21" t="str">
        <f>IF(K525&gt;0,K525*I525,"")</f>
      </c>
      <c r="M525" s="52"/>
      <c r="N525" t="str">
        <f>IF(K525&gt;0,COUNTIF($K$7:K525,"&gt;0"),"")</f>
      </c>
      <c r="O525" t="s">
        <v>1500</v>
      </c>
      <c r="P525" t="s">
        <v>1497</v>
      </c>
      <c r="Q525" t="s">
        <v>1497</v>
      </c>
    </row>
    <row r="526" spans="1:18" customHeight="1" ht="58">
      <c r="A526" s="16"/>
      <c r="B526" s="18" t="s">
        <v>1498</v>
      </c>
      <c r="C526" s="17" t="s">
        <v>1502</v>
      </c>
      <c r="D526" s="17"/>
      <c r="E526" s="17" t="s">
        <v>1297</v>
      </c>
      <c r="F526" s="19"/>
      <c r="G526" s="20">
        <v>1.0</v>
      </c>
      <c r="H526" s="21"/>
      <c r="I526" s="21">
        <v>433.0</v>
      </c>
      <c r="J526" s="22">
        <v>9.0</v>
      </c>
      <c r="K526" s="50"/>
      <c r="L526" s="21" t="str">
        <f>IF(K526&gt;0,K526*I526,"")</f>
      </c>
      <c r="M526" s="52"/>
      <c r="N526" t="str">
        <f>IF(K526&gt;0,COUNTIF($K$7:K526,"&gt;0"),"")</f>
      </c>
      <c r="O526" t="s">
        <v>1503</v>
      </c>
      <c r="P526" t="s">
        <v>1501</v>
      </c>
      <c r="Q526" t="s">
        <v>1501</v>
      </c>
    </row>
    <row r="527" spans="1:18" customHeight="1" ht="58">
      <c r="A527" s="16"/>
      <c r="B527" s="18" t="s">
        <v>1498</v>
      </c>
      <c r="C527" s="17" t="s">
        <v>1505</v>
      </c>
      <c r="D527" s="17"/>
      <c r="E527" s="17" t="s">
        <v>1237</v>
      </c>
      <c r="F527" s="19"/>
      <c r="G527" s="20">
        <v>1.0</v>
      </c>
      <c r="H527" s="21"/>
      <c r="I527" s="21">
        <v>659.0</v>
      </c>
      <c r="J527" s="22">
        <v>10.0</v>
      </c>
      <c r="K527" s="50"/>
      <c r="L527" s="21" t="str">
        <f>IF(K527&gt;0,K527*I527,"")</f>
      </c>
      <c r="M527" s="52"/>
      <c r="N527" t="str">
        <f>IF(K527&gt;0,COUNTIF($K$7:K527,"&gt;0"),"")</f>
      </c>
      <c r="O527" t="s">
        <v>1506</v>
      </c>
      <c r="P527" t="s">
        <v>1504</v>
      </c>
      <c r="Q527" t="s">
        <v>1504</v>
      </c>
    </row>
    <row r="528" spans="1:18" customHeight="1" ht="58">
      <c r="A528" s="16"/>
      <c r="B528" s="18" t="s">
        <v>1498</v>
      </c>
      <c r="C528" s="17" t="s">
        <v>1508</v>
      </c>
      <c r="D528" s="17"/>
      <c r="E528" s="17" t="s">
        <v>1225</v>
      </c>
      <c r="F528" s="19"/>
      <c r="G528" s="20">
        <v>1.0</v>
      </c>
      <c r="H528" s="21"/>
      <c r="I528" s="21">
        <v>791.0</v>
      </c>
      <c r="J528" s="22">
        <v>5.0</v>
      </c>
      <c r="K528" s="50"/>
      <c r="L528" s="21" t="str">
        <f>IF(K528&gt;0,K528*I528,"")</f>
      </c>
      <c r="M528" s="52"/>
      <c r="N528" t="str">
        <f>IF(K528&gt;0,COUNTIF($K$7:K528,"&gt;0"),"")</f>
      </c>
      <c r="O528" t="s">
        <v>1509</v>
      </c>
      <c r="P528" t="s">
        <v>1507</v>
      </c>
      <c r="Q528" t="s">
        <v>1507</v>
      </c>
    </row>
    <row r="529" spans="1:18" customHeight="1" ht="58">
      <c r="A529" s="16"/>
      <c r="B529" s="18" t="s">
        <v>1498</v>
      </c>
      <c r="C529" s="17" t="s">
        <v>1511</v>
      </c>
      <c r="D529" s="17"/>
      <c r="E529" s="17" t="s">
        <v>1233</v>
      </c>
      <c r="F529" s="19"/>
      <c r="G529" s="20">
        <v>1.0</v>
      </c>
      <c r="H529" s="21"/>
      <c r="I529" s="21">
        <v>278.0</v>
      </c>
      <c r="J529" s="22">
        <v>8.0</v>
      </c>
      <c r="K529" s="50"/>
      <c r="L529" s="21" t="str">
        <f>IF(K529&gt;0,K529*I529,"")</f>
      </c>
      <c r="M529" s="52"/>
      <c r="N529" t="str">
        <f>IF(K529&gt;0,COUNTIF($K$7:K529,"&gt;0"),"")</f>
      </c>
      <c r="O529" t="s">
        <v>1512</v>
      </c>
      <c r="P529" t="s">
        <v>1510</v>
      </c>
      <c r="Q529" t="s">
        <v>1510</v>
      </c>
    </row>
    <row r="530" spans="1:18" customHeight="1" ht="58">
      <c r="A530" s="16"/>
      <c r="B530" s="18" t="s">
        <v>1498</v>
      </c>
      <c r="C530" s="17" t="s">
        <v>1514</v>
      </c>
      <c r="D530" s="17"/>
      <c r="E530" s="17" t="s">
        <v>1237</v>
      </c>
      <c r="F530" s="19"/>
      <c r="G530" s="20">
        <v>1.0</v>
      </c>
      <c r="H530" s="21"/>
      <c r="I530" s="21">
        <v>659.0</v>
      </c>
      <c r="J530" s="22">
        <v>9.0</v>
      </c>
      <c r="K530" s="50"/>
      <c r="L530" s="21" t="str">
        <f>IF(K530&gt;0,K530*I530,"")</f>
      </c>
      <c r="M530" s="52"/>
      <c r="N530" t="str">
        <f>IF(K530&gt;0,COUNTIF($K$7:K530,"&gt;0"),"")</f>
      </c>
      <c r="O530" t="s">
        <v>1515</v>
      </c>
      <c r="P530" t="s">
        <v>1513</v>
      </c>
      <c r="Q530" t="s">
        <v>1513</v>
      </c>
    </row>
    <row r="531" spans="1:18" customHeight="1" ht="58">
      <c r="A531" s="16"/>
      <c r="B531" s="18" t="s">
        <v>1517</v>
      </c>
      <c r="C531" s="17" t="s">
        <v>1518</v>
      </c>
      <c r="D531" s="17"/>
      <c r="E531" s="17" t="s">
        <v>1519</v>
      </c>
      <c r="F531" s="19"/>
      <c r="G531" s="20">
        <v>1.0</v>
      </c>
      <c r="H531" s="21"/>
      <c r="I531" s="21">
        <v>797.0</v>
      </c>
      <c r="J531" s="22">
        <v>3.0</v>
      </c>
      <c r="K531" s="50"/>
      <c r="L531" s="21" t="str">
        <f>IF(K531&gt;0,K531*I531,"")</f>
      </c>
      <c r="M531" s="52"/>
      <c r="N531" t="str">
        <f>IF(K531&gt;0,COUNTIF($K$7:K531,"&gt;0"),"")</f>
      </c>
      <c r="O531" t="s">
        <v>1520</v>
      </c>
      <c r="P531" t="s">
        <v>1516</v>
      </c>
      <c r="Q531" t="s">
        <v>1516</v>
      </c>
    </row>
    <row r="532" spans="1:18" customHeight="1" ht="58">
      <c r="A532" s="16"/>
      <c r="B532" s="18" t="s">
        <v>1517</v>
      </c>
      <c r="C532" s="17" t="s">
        <v>1522</v>
      </c>
      <c r="D532" s="17"/>
      <c r="E532" s="17" t="s">
        <v>1523</v>
      </c>
      <c r="F532" s="19"/>
      <c r="G532" s="20">
        <v>1.0</v>
      </c>
      <c r="H532" s="21"/>
      <c r="I532" s="21">
        <v>1254.0</v>
      </c>
      <c r="J532" s="22">
        <v>2.0</v>
      </c>
      <c r="K532" s="50"/>
      <c r="L532" s="21" t="str">
        <f>IF(K532&gt;0,K532*I532,"")</f>
      </c>
      <c r="M532" s="52"/>
      <c r="N532" t="str">
        <f>IF(K532&gt;0,COUNTIF($K$7:K532,"&gt;0"),"")</f>
      </c>
      <c r="O532" t="s">
        <v>1524</v>
      </c>
      <c r="P532" t="s">
        <v>1521</v>
      </c>
      <c r="Q532" t="s">
        <v>1521</v>
      </c>
    </row>
    <row r="533" spans="1:18" customHeight="1" ht="58">
      <c r="A533" s="16"/>
      <c r="B533" s="18" t="s">
        <v>1517</v>
      </c>
      <c r="C533" s="17" t="s">
        <v>1526</v>
      </c>
      <c r="D533" s="17"/>
      <c r="E533" s="17" t="s">
        <v>1233</v>
      </c>
      <c r="F533" s="19"/>
      <c r="G533" s="20">
        <v>1.0</v>
      </c>
      <c r="H533" s="21"/>
      <c r="I533" s="21">
        <v>249.0</v>
      </c>
      <c r="J533" s="22">
        <v>1.0</v>
      </c>
      <c r="K533" s="50"/>
      <c r="L533" s="21" t="str">
        <f>IF(K533&gt;0,K533*I533,"")</f>
      </c>
      <c r="M533" s="52"/>
      <c r="N533" t="str">
        <f>IF(K533&gt;0,COUNTIF($K$7:K533,"&gt;0"),"")</f>
      </c>
      <c r="O533" t="s">
        <v>1527</v>
      </c>
      <c r="P533" t="s">
        <v>1525</v>
      </c>
      <c r="Q533" t="s">
        <v>1525</v>
      </c>
    </row>
    <row r="534" spans="1:18" customHeight="1" ht="58">
      <c r="A534" s="16"/>
      <c r="B534" s="18" t="s">
        <v>1517</v>
      </c>
      <c r="C534" s="17" t="s">
        <v>1529</v>
      </c>
      <c r="D534" s="17"/>
      <c r="E534" s="17" t="s">
        <v>1315</v>
      </c>
      <c r="F534" s="19"/>
      <c r="G534" s="20">
        <v>1.0</v>
      </c>
      <c r="H534" s="21"/>
      <c r="I534" s="21">
        <v>520.0</v>
      </c>
      <c r="J534" s="22">
        <v>3.0</v>
      </c>
      <c r="K534" s="50"/>
      <c r="L534" s="21" t="str">
        <f>IF(K534&gt;0,K534*I534,"")</f>
      </c>
      <c r="M534" s="52"/>
      <c r="N534" t="str">
        <f>IF(K534&gt;0,COUNTIF($K$7:K534,"&gt;0"),"")</f>
      </c>
      <c r="O534" t="s">
        <v>1530</v>
      </c>
      <c r="P534" t="s">
        <v>1528</v>
      </c>
      <c r="Q534" t="s">
        <v>1528</v>
      </c>
    </row>
    <row r="535" spans="1:18" customHeight="1" ht="58">
      <c r="A535" s="16"/>
      <c r="B535" s="18" t="s">
        <v>1517</v>
      </c>
      <c r="C535" s="17" t="s">
        <v>1532</v>
      </c>
      <c r="D535" s="17"/>
      <c r="E535" s="17" t="s">
        <v>1519</v>
      </c>
      <c r="F535" s="19"/>
      <c r="G535" s="20">
        <v>1.0</v>
      </c>
      <c r="H535" s="21"/>
      <c r="I535" s="21">
        <v>797.0</v>
      </c>
      <c r="J535" s="22">
        <v>1.0</v>
      </c>
      <c r="K535" s="50"/>
      <c r="L535" s="21" t="str">
        <f>IF(K535&gt;0,K535*I535,"")</f>
      </c>
      <c r="M535" s="52"/>
      <c r="N535" t="str">
        <f>IF(K535&gt;0,COUNTIF($K$7:K535,"&gt;0"),"")</f>
      </c>
      <c r="O535" t="s">
        <v>1533</v>
      </c>
      <c r="P535" t="s">
        <v>1531</v>
      </c>
      <c r="Q535" t="s">
        <v>1531</v>
      </c>
    </row>
    <row r="536" spans="1:18" customHeight="1" ht="58">
      <c r="A536" s="16"/>
      <c r="B536" s="18" t="s">
        <v>1517</v>
      </c>
      <c r="C536" s="17" t="s">
        <v>1535</v>
      </c>
      <c r="D536" s="17"/>
      <c r="E536" s="17" t="s">
        <v>1523</v>
      </c>
      <c r="F536" s="19"/>
      <c r="G536" s="20">
        <v>1.0</v>
      </c>
      <c r="H536" s="21"/>
      <c r="I536" s="21">
        <v>1254.0</v>
      </c>
      <c r="J536" s="22">
        <v>1.0</v>
      </c>
      <c r="K536" s="50"/>
      <c r="L536" s="21" t="str">
        <f>IF(K536&gt;0,K536*I536,"")</f>
      </c>
      <c r="M536" s="52"/>
      <c r="N536" t="str">
        <f>IF(K536&gt;0,COUNTIF($K$7:K536,"&gt;0"),"")</f>
      </c>
      <c r="O536" t="s">
        <v>1536</v>
      </c>
      <c r="P536" t="s">
        <v>1534</v>
      </c>
      <c r="Q536" t="s">
        <v>1534</v>
      </c>
    </row>
    <row r="537" spans="1:18" customHeight="1" ht="58">
      <c r="A537" s="16"/>
      <c r="B537" s="18" t="s">
        <v>1517</v>
      </c>
      <c r="C537" s="17" t="s">
        <v>1538</v>
      </c>
      <c r="D537" s="17"/>
      <c r="E537" s="17"/>
      <c r="F537" s="19"/>
      <c r="G537" s="20">
        <v>1.0</v>
      </c>
      <c r="H537" s="21"/>
      <c r="I537" s="21">
        <v>249.0</v>
      </c>
      <c r="J537" s="22">
        <v>10.0</v>
      </c>
      <c r="K537" s="50"/>
      <c r="L537" s="21" t="str">
        <f>IF(K537&gt;0,K537*I537,"")</f>
      </c>
      <c r="M537" s="52"/>
      <c r="N537" t="str">
        <f>IF(K537&gt;0,COUNTIF($K$7:K537,"&gt;0"),"")</f>
      </c>
      <c r="O537" t="s">
        <v>1539</v>
      </c>
      <c r="P537" t="s">
        <v>1537</v>
      </c>
      <c r="Q537" t="s">
        <v>1537</v>
      </c>
    </row>
    <row r="538" spans="1:18" customHeight="1" ht="58">
      <c r="A538" s="16"/>
      <c r="B538" s="18" t="s">
        <v>1517</v>
      </c>
      <c r="C538" s="17" t="s">
        <v>1541</v>
      </c>
      <c r="D538" s="17"/>
      <c r="E538" s="17"/>
      <c r="F538" s="19"/>
      <c r="G538" s="20">
        <v>1.0</v>
      </c>
      <c r="H538" s="21"/>
      <c r="I538" s="21">
        <v>520.0</v>
      </c>
      <c r="J538" s="22">
        <v>7.0</v>
      </c>
      <c r="K538" s="50"/>
      <c r="L538" s="21" t="str">
        <f>IF(K538&gt;0,K538*I538,"")</f>
      </c>
      <c r="M538" s="52"/>
      <c r="N538" t="str">
        <f>IF(K538&gt;0,COUNTIF($K$7:K538,"&gt;0"),"")</f>
      </c>
      <c r="O538" t="s">
        <v>1542</v>
      </c>
      <c r="P538" t="s">
        <v>1540</v>
      </c>
      <c r="Q538" t="s">
        <v>1540</v>
      </c>
    </row>
    <row r="539" spans="1:18" customHeight="1" ht="58">
      <c r="A539" s="16"/>
      <c r="B539" s="18" t="s">
        <v>1517</v>
      </c>
      <c r="C539" s="17" t="s">
        <v>1544</v>
      </c>
      <c r="D539" s="17"/>
      <c r="E539" s="17"/>
      <c r="F539" s="19"/>
      <c r="G539" s="20">
        <v>1.0</v>
      </c>
      <c r="H539" s="21"/>
      <c r="I539" s="21">
        <v>2900.0</v>
      </c>
      <c r="J539" s="22">
        <v>1.0</v>
      </c>
      <c r="K539" s="50"/>
      <c r="L539" s="21" t="str">
        <f>IF(K539&gt;0,K539*I539,"")</f>
      </c>
      <c r="M539" s="52"/>
      <c r="N539" t="str">
        <f>IF(K539&gt;0,COUNTIF($K$7:K539,"&gt;0"),"")</f>
      </c>
      <c r="O539" t="s">
        <v>1545</v>
      </c>
      <c r="P539" t="s">
        <v>1543</v>
      </c>
      <c r="Q539" t="s">
        <v>1543</v>
      </c>
    </row>
    <row r="540" spans="1:18" customHeight="1" ht="58">
      <c r="A540" s="16"/>
      <c r="B540" s="18" t="s">
        <v>1547</v>
      </c>
      <c r="C540" s="17" t="s">
        <v>1548</v>
      </c>
      <c r="D540" s="17" t="s">
        <v>1549</v>
      </c>
      <c r="E540" s="17" t="s">
        <v>1550</v>
      </c>
      <c r="F540" s="19"/>
      <c r="G540" s="20">
        <v>1.0</v>
      </c>
      <c r="H540" s="21"/>
      <c r="I540" s="21">
        <v>353.0</v>
      </c>
      <c r="J540" s="22">
        <v>5.0</v>
      </c>
      <c r="K540" s="50"/>
      <c r="L540" s="21" t="str">
        <f>IF(K540&gt;0,K540*I540,"")</f>
      </c>
      <c r="M540" s="52"/>
      <c r="N540" t="str">
        <f>IF(K540&gt;0,COUNTIF($K$7:K540,"&gt;0"),"")</f>
      </c>
      <c r="O540" t="s">
        <v>1551</v>
      </c>
      <c r="P540" t="s">
        <v>1546</v>
      </c>
      <c r="Q540" t="s">
        <v>1546</v>
      </c>
    </row>
    <row r="541" spans="1:18" customHeight="1" ht="58">
      <c r="A541" s="16"/>
      <c r="B541" s="18" t="s">
        <v>1547</v>
      </c>
      <c r="C541" s="17" t="s">
        <v>1548</v>
      </c>
      <c r="D541" s="17" t="s">
        <v>1553</v>
      </c>
      <c r="E541" s="17" t="s">
        <v>1550</v>
      </c>
      <c r="F541" s="19"/>
      <c r="G541" s="20">
        <v>1.0</v>
      </c>
      <c r="H541" s="21"/>
      <c r="I541" s="21">
        <v>353.0</v>
      </c>
      <c r="J541" s="22">
        <v>2.0</v>
      </c>
      <c r="K541" s="50"/>
      <c r="L541" s="21" t="str">
        <f>IF(K541&gt;0,K541*I541,"")</f>
      </c>
      <c r="M541" s="52"/>
      <c r="N541" t="str">
        <f>IF(K541&gt;0,COUNTIF($K$7:K541,"&gt;0"),"")</f>
      </c>
      <c r="O541" t="s">
        <v>1554</v>
      </c>
      <c r="P541" t="s">
        <v>1552</v>
      </c>
      <c r="Q541" t="s">
        <v>1552</v>
      </c>
    </row>
    <row r="542" spans="1:18" customHeight="1" ht="58">
      <c r="A542" s="16"/>
      <c r="B542" s="18" t="s">
        <v>1556</v>
      </c>
      <c r="C542" s="17" t="s">
        <v>1557</v>
      </c>
      <c r="D542" s="17" t="s">
        <v>1558</v>
      </c>
      <c r="E542" s="17" t="s">
        <v>1559</v>
      </c>
      <c r="F542" s="19"/>
      <c r="G542" s="20">
        <v>1.0</v>
      </c>
      <c r="H542" s="21"/>
      <c r="I542" s="21">
        <v>2686.0</v>
      </c>
      <c r="J542" s="22">
        <v>3.0</v>
      </c>
      <c r="K542" s="50"/>
      <c r="L542" s="21" t="str">
        <f>IF(K542&gt;0,K542*I542,"")</f>
      </c>
      <c r="M542" s="52"/>
      <c r="N542" t="str">
        <f>IF(K542&gt;0,COUNTIF($K$7:K542,"&gt;0"),"")</f>
      </c>
      <c r="O542" t="s">
        <v>1560</v>
      </c>
      <c r="P542" t="s">
        <v>1555</v>
      </c>
      <c r="Q542" t="s">
        <v>1555</v>
      </c>
    </row>
    <row r="543" spans="1:18" customHeight="1" ht="58">
      <c r="A543" s="16"/>
      <c r="B543" s="18" t="s">
        <v>1562</v>
      </c>
      <c r="C543" s="17" t="s">
        <v>1557</v>
      </c>
      <c r="D543" s="17" t="s">
        <v>1563</v>
      </c>
      <c r="E543" s="17" t="s">
        <v>1559</v>
      </c>
      <c r="F543" s="19"/>
      <c r="G543" s="20">
        <v>1.0</v>
      </c>
      <c r="H543" s="21"/>
      <c r="I543" s="21">
        <v>2686.0</v>
      </c>
      <c r="J543" s="22">
        <v>1.0</v>
      </c>
      <c r="K543" s="50"/>
      <c r="L543" s="21" t="str">
        <f>IF(K543&gt;0,K543*I543,"")</f>
      </c>
      <c r="M543" s="52"/>
      <c r="N543" t="str">
        <f>IF(K543&gt;0,COUNTIF($K$7:K543,"&gt;0"),"")</f>
      </c>
      <c r="O543" t="s">
        <v>1564</v>
      </c>
      <c r="P543" t="s">
        <v>1561</v>
      </c>
      <c r="Q543" t="s">
        <v>1561</v>
      </c>
    </row>
    <row r="544" spans="1:18" customHeight="1" ht="58">
      <c r="A544" s="16"/>
      <c r="B544" s="18" t="s">
        <v>1566</v>
      </c>
      <c r="C544" s="17" t="s">
        <v>1567</v>
      </c>
      <c r="D544" s="17" t="s">
        <v>1568</v>
      </c>
      <c r="E544" s="17" t="s">
        <v>1559</v>
      </c>
      <c r="F544" s="19"/>
      <c r="G544" s="20">
        <v>1.0</v>
      </c>
      <c r="H544" s="21"/>
      <c r="I544" s="21">
        <v>1837.0</v>
      </c>
      <c r="J544" s="22">
        <v>9.0</v>
      </c>
      <c r="K544" s="50"/>
      <c r="L544" s="21" t="str">
        <f>IF(K544&gt;0,K544*I544,"")</f>
      </c>
      <c r="M544" s="52"/>
      <c r="N544" t="str">
        <f>IF(K544&gt;0,COUNTIF($K$7:K544,"&gt;0"),"")</f>
      </c>
      <c r="O544" t="s">
        <v>1569</v>
      </c>
      <c r="P544" t="s">
        <v>1565</v>
      </c>
      <c r="Q544" t="s">
        <v>1565</v>
      </c>
    </row>
    <row r="545" spans="1:18" customHeight="1" ht="58">
      <c r="A545" s="16"/>
      <c r="B545" s="18" t="s">
        <v>1571</v>
      </c>
      <c r="C545" s="17" t="s">
        <v>1567</v>
      </c>
      <c r="D545" s="17" t="s">
        <v>1572</v>
      </c>
      <c r="E545" s="17" t="s">
        <v>1559</v>
      </c>
      <c r="F545" s="19"/>
      <c r="G545" s="20">
        <v>1.0</v>
      </c>
      <c r="H545" s="21"/>
      <c r="I545" s="21">
        <v>1837.0</v>
      </c>
      <c r="J545" s="22">
        <v>8.0</v>
      </c>
      <c r="K545" s="50"/>
      <c r="L545" s="21" t="str">
        <f>IF(K545&gt;0,K545*I545,"")</f>
      </c>
      <c r="M545" s="52"/>
      <c r="N545" t="str">
        <f>IF(K545&gt;0,COUNTIF($K$7:K545,"&gt;0"),"")</f>
      </c>
      <c r="O545" t="s">
        <v>1573</v>
      </c>
      <c r="P545" t="s">
        <v>1570</v>
      </c>
      <c r="Q545" t="s">
        <v>1570</v>
      </c>
    </row>
    <row r="546" spans="1:18" customHeight="1" ht="58">
      <c r="A546" s="16"/>
      <c r="B546" s="18" t="s">
        <v>1575</v>
      </c>
      <c r="C546" s="17" t="s">
        <v>1567</v>
      </c>
      <c r="D546" s="17" t="s">
        <v>1576</v>
      </c>
      <c r="E546" s="17" t="s">
        <v>1559</v>
      </c>
      <c r="F546" s="19"/>
      <c r="G546" s="20">
        <v>1.0</v>
      </c>
      <c r="H546" s="21"/>
      <c r="I546" s="21">
        <v>1837.0</v>
      </c>
      <c r="J546" s="22">
        <v>2.0</v>
      </c>
      <c r="K546" s="50"/>
      <c r="L546" s="21" t="str">
        <f>IF(K546&gt;0,K546*I546,"")</f>
      </c>
      <c r="M546" s="52"/>
      <c r="N546" t="str">
        <f>IF(K546&gt;0,COUNTIF($K$7:K546,"&gt;0"),"")</f>
      </c>
      <c r="O546" t="s">
        <v>1577</v>
      </c>
      <c r="P546" t="s">
        <v>1574</v>
      </c>
      <c r="Q546" t="s">
        <v>1574</v>
      </c>
    </row>
    <row r="547" spans="1:18" customHeight="1" ht="58">
      <c r="A547" s="16"/>
      <c r="B547" s="18" t="s">
        <v>1579</v>
      </c>
      <c r="C547" s="17" t="s">
        <v>1580</v>
      </c>
      <c r="D547" s="17" t="s">
        <v>1581</v>
      </c>
      <c r="E547" s="17" t="s">
        <v>1582</v>
      </c>
      <c r="F547" s="19"/>
      <c r="G547" s="20">
        <v>1.0</v>
      </c>
      <c r="H547" s="21"/>
      <c r="I547" s="21">
        <v>1289.0</v>
      </c>
      <c r="J547" s="22">
        <v>7.0</v>
      </c>
      <c r="K547" s="50"/>
      <c r="L547" s="21" t="str">
        <f>IF(K547&gt;0,K547*I547,"")</f>
      </c>
      <c r="M547" s="52"/>
      <c r="N547" t="str">
        <f>IF(K547&gt;0,COUNTIF($K$7:K547,"&gt;0"),"")</f>
      </c>
      <c r="O547" t="s">
        <v>1583</v>
      </c>
      <c r="P547" t="s">
        <v>1578</v>
      </c>
      <c r="Q547" t="s">
        <v>1578</v>
      </c>
    </row>
    <row r="548" spans="1:18" customHeight="1" ht="58">
      <c r="A548" s="16"/>
      <c r="B548" s="18" t="s">
        <v>1585</v>
      </c>
      <c r="C548" s="17" t="s">
        <v>1580</v>
      </c>
      <c r="D548" s="17" t="s">
        <v>1586</v>
      </c>
      <c r="E548" s="17" t="s">
        <v>1582</v>
      </c>
      <c r="F548" s="19"/>
      <c r="G548" s="20">
        <v>1.0</v>
      </c>
      <c r="H548" s="21"/>
      <c r="I548" s="21">
        <v>1289.0</v>
      </c>
      <c r="J548" s="22">
        <v>8.0</v>
      </c>
      <c r="K548" s="50"/>
      <c r="L548" s="21" t="str">
        <f>IF(K548&gt;0,K548*I548,"")</f>
      </c>
      <c r="M548" s="52"/>
      <c r="N548" t="str">
        <f>IF(K548&gt;0,COUNTIF($K$7:K548,"&gt;0"),"")</f>
      </c>
      <c r="O548" t="s">
        <v>1587</v>
      </c>
      <c r="P548" t="s">
        <v>1584</v>
      </c>
      <c r="Q548" t="s">
        <v>1584</v>
      </c>
    </row>
    <row r="549" spans="1:18" customHeight="1" ht="58">
      <c r="A549" s="16"/>
      <c r="B549" s="18" t="s">
        <v>1589</v>
      </c>
      <c r="C549" s="17" t="s">
        <v>1580</v>
      </c>
      <c r="D549" s="17" t="s">
        <v>1590</v>
      </c>
      <c r="E549" s="17" t="s">
        <v>1582</v>
      </c>
      <c r="F549" s="19"/>
      <c r="G549" s="20">
        <v>1.0</v>
      </c>
      <c r="H549" s="21"/>
      <c r="I549" s="21">
        <v>1289.0</v>
      </c>
      <c r="J549" s="22">
        <v>7.0</v>
      </c>
      <c r="K549" s="50"/>
      <c r="L549" s="21" t="str">
        <f>IF(K549&gt;0,K549*I549,"")</f>
      </c>
      <c r="M549" s="52"/>
      <c r="N549" t="str">
        <f>IF(K549&gt;0,COUNTIF($K$7:K549,"&gt;0"),"")</f>
      </c>
      <c r="O549" t="s">
        <v>1591</v>
      </c>
      <c r="P549" t="s">
        <v>1588</v>
      </c>
      <c r="Q549" t="s">
        <v>1588</v>
      </c>
    </row>
    <row r="550" spans="1:18" customHeight="1" ht="58">
      <c r="A550" s="16"/>
      <c r="B550" s="18" t="s">
        <v>1593</v>
      </c>
      <c r="C550" s="17" t="s">
        <v>1580</v>
      </c>
      <c r="D550" s="17" t="s">
        <v>1594</v>
      </c>
      <c r="E550" s="17" t="s">
        <v>1582</v>
      </c>
      <c r="F550" s="19"/>
      <c r="G550" s="20">
        <v>1.0</v>
      </c>
      <c r="H550" s="21"/>
      <c r="I550" s="21">
        <v>1289.0</v>
      </c>
      <c r="J550" s="22">
        <v>10.0</v>
      </c>
      <c r="K550" s="50"/>
      <c r="L550" s="21" t="str">
        <f>IF(K550&gt;0,K550*I550,"")</f>
      </c>
      <c r="M550" s="52"/>
      <c r="N550" t="str">
        <f>IF(K550&gt;0,COUNTIF($K$7:K550,"&gt;0"),"")</f>
      </c>
      <c r="O550" t="s">
        <v>1595</v>
      </c>
      <c r="P550" t="s">
        <v>1592</v>
      </c>
      <c r="Q550" t="s">
        <v>1592</v>
      </c>
    </row>
    <row r="551" spans="1:18" customHeight="1" ht="58">
      <c r="A551" s="16"/>
      <c r="B551" s="18" t="s">
        <v>1597</v>
      </c>
      <c r="C551" s="17" t="s">
        <v>1580</v>
      </c>
      <c r="D551" s="17" t="s">
        <v>1598</v>
      </c>
      <c r="E551" s="17" t="s">
        <v>1582</v>
      </c>
      <c r="F551" s="19"/>
      <c r="G551" s="20">
        <v>1.0</v>
      </c>
      <c r="H551" s="21"/>
      <c r="I551" s="21">
        <v>1289.0</v>
      </c>
      <c r="J551" s="22">
        <v>1.0</v>
      </c>
      <c r="K551" s="50"/>
      <c r="L551" s="21" t="str">
        <f>IF(K551&gt;0,K551*I551,"")</f>
      </c>
      <c r="M551" s="52"/>
      <c r="N551" t="str">
        <f>IF(K551&gt;0,COUNTIF($K$7:K551,"&gt;0"),"")</f>
      </c>
      <c r="O551" t="s">
        <v>1599</v>
      </c>
      <c r="P551" t="s">
        <v>1596</v>
      </c>
      <c r="Q551" t="s">
        <v>1596</v>
      </c>
    </row>
    <row r="552" spans="1:18" customHeight="1" ht="58">
      <c r="A552" s="16"/>
      <c r="B552" s="18" t="s">
        <v>1601</v>
      </c>
      <c r="C552" s="17" t="s">
        <v>1580</v>
      </c>
      <c r="D552" s="17" t="s">
        <v>1602</v>
      </c>
      <c r="E552" s="17" t="s">
        <v>1582</v>
      </c>
      <c r="F552" s="19"/>
      <c r="G552" s="20">
        <v>1.0</v>
      </c>
      <c r="H552" s="21"/>
      <c r="I552" s="21">
        <v>1289.0</v>
      </c>
      <c r="J552" s="22">
        <v>8.0</v>
      </c>
      <c r="K552" s="50"/>
      <c r="L552" s="21" t="str">
        <f>IF(K552&gt;0,K552*I552,"")</f>
      </c>
      <c r="M552" s="52"/>
      <c r="N552" t="str">
        <f>IF(K552&gt;0,COUNTIF($K$7:K552,"&gt;0"),"")</f>
      </c>
      <c r="O552" t="s">
        <v>1603</v>
      </c>
      <c r="P552" t="s">
        <v>1600</v>
      </c>
      <c r="Q552" t="s">
        <v>1600</v>
      </c>
    </row>
    <row r="553" spans="1:18" customHeight="1" ht="58">
      <c r="A553" s="16"/>
      <c r="B553" s="18" t="s">
        <v>1605</v>
      </c>
      <c r="C553" s="17" t="s">
        <v>1580</v>
      </c>
      <c r="D553" s="17" t="s">
        <v>1606</v>
      </c>
      <c r="E553" s="17" t="s">
        <v>1582</v>
      </c>
      <c r="F553" s="19"/>
      <c r="G553" s="20">
        <v>1.0</v>
      </c>
      <c r="H553" s="21"/>
      <c r="I553" s="21">
        <v>1289.0</v>
      </c>
      <c r="J553" s="22">
        <v>1.0</v>
      </c>
      <c r="K553" s="50"/>
      <c r="L553" s="21" t="str">
        <f>IF(K553&gt;0,K553*I553,"")</f>
      </c>
      <c r="M553" s="52"/>
      <c r="N553" t="str">
        <f>IF(K553&gt;0,COUNTIF($K$7:K553,"&gt;0"),"")</f>
      </c>
      <c r="O553" t="s">
        <v>1607</v>
      </c>
      <c r="P553" t="s">
        <v>1604</v>
      </c>
      <c r="Q553" t="s">
        <v>1604</v>
      </c>
    </row>
    <row r="554" spans="1:18" customHeight="1" ht="58">
      <c r="A554" s="16"/>
      <c r="B554" s="18" t="s">
        <v>1609</v>
      </c>
      <c r="C554" s="17" t="s">
        <v>1610</v>
      </c>
      <c r="D554" s="17"/>
      <c r="E554" s="17" t="s">
        <v>1439</v>
      </c>
      <c r="F554" s="19"/>
      <c r="G554" s="20">
        <v>1.0</v>
      </c>
      <c r="H554" s="21"/>
      <c r="I554" s="21">
        <v>353.0</v>
      </c>
      <c r="J554" s="22">
        <v>6.0</v>
      </c>
      <c r="K554" s="50"/>
      <c r="L554" s="21" t="str">
        <f>IF(K554&gt;0,K554*I554,"")</f>
      </c>
      <c r="M554" s="52"/>
      <c r="N554" t="str">
        <f>IF(K554&gt;0,COUNTIF($K$7:K554,"&gt;0"),"")</f>
      </c>
      <c r="O554" t="s">
        <v>1611</v>
      </c>
      <c r="P554" t="s">
        <v>1608</v>
      </c>
      <c r="Q554" t="s">
        <v>1608</v>
      </c>
    </row>
    <row r="555" spans="1:18" customHeight="1" ht="58">
      <c r="A555" s="16"/>
      <c r="B555" s="18" t="s">
        <v>1609</v>
      </c>
      <c r="C555" s="17" t="s">
        <v>1613</v>
      </c>
      <c r="D555" s="17"/>
      <c r="E555" s="17" t="s">
        <v>1276</v>
      </c>
      <c r="F555" s="19"/>
      <c r="G555" s="20">
        <v>1.0</v>
      </c>
      <c r="H555" s="21"/>
      <c r="I555" s="21">
        <v>520.0</v>
      </c>
      <c r="J555" s="22">
        <v>10.0</v>
      </c>
      <c r="K555" s="50"/>
      <c r="L555" s="21" t="str">
        <f>IF(K555&gt;0,K555*I555,"")</f>
      </c>
      <c r="M555" s="52"/>
      <c r="N555" t="str">
        <f>IF(K555&gt;0,COUNTIF($K$7:K555,"&gt;0"),"")</f>
      </c>
      <c r="O555" t="s">
        <v>1614</v>
      </c>
      <c r="P555" t="s">
        <v>1612</v>
      </c>
      <c r="Q555" t="s">
        <v>1612</v>
      </c>
    </row>
    <row r="556" spans="1:18" customHeight="1" ht="58">
      <c r="A556" s="16"/>
      <c r="B556" s="18" t="s">
        <v>1609</v>
      </c>
      <c r="C556" s="17" t="s">
        <v>1616</v>
      </c>
      <c r="D556" s="17"/>
      <c r="E556" s="17" t="s">
        <v>1439</v>
      </c>
      <c r="F556" s="19"/>
      <c r="G556" s="20">
        <v>1.0</v>
      </c>
      <c r="H556" s="21"/>
      <c r="I556" s="21">
        <v>353.0</v>
      </c>
      <c r="J556" s="22">
        <v>1.0</v>
      </c>
      <c r="K556" s="50"/>
      <c r="L556" s="21" t="str">
        <f>IF(K556&gt;0,K556*I556,"")</f>
      </c>
      <c r="M556" s="52"/>
      <c r="N556" t="str">
        <f>IF(K556&gt;0,COUNTIF($K$7:K556,"&gt;0"),"")</f>
      </c>
      <c r="O556" t="s">
        <v>1617</v>
      </c>
      <c r="P556" t="s">
        <v>1615</v>
      </c>
      <c r="Q556" t="s">
        <v>1615</v>
      </c>
    </row>
    <row r="557" spans="1:18" customHeight="1" ht="58">
      <c r="A557" s="16"/>
      <c r="B557" s="18" t="s">
        <v>1609</v>
      </c>
      <c r="C557" s="17" t="s">
        <v>1619</v>
      </c>
      <c r="D557" s="17"/>
      <c r="E557" s="17" t="s">
        <v>1276</v>
      </c>
      <c r="F557" s="19"/>
      <c r="G557" s="20">
        <v>1.0</v>
      </c>
      <c r="H557" s="21"/>
      <c r="I557" s="21">
        <v>520.0</v>
      </c>
      <c r="J557" s="22">
        <v>4.0</v>
      </c>
      <c r="K557" s="50"/>
      <c r="L557" s="21" t="str">
        <f>IF(K557&gt;0,K557*I557,"")</f>
      </c>
      <c r="M557" s="52"/>
      <c r="N557" t="str">
        <f>IF(K557&gt;0,COUNTIF($K$7:K557,"&gt;0"),"")</f>
      </c>
      <c r="O557" t="s">
        <v>1620</v>
      </c>
      <c r="P557" t="s">
        <v>1618</v>
      </c>
      <c r="Q557" t="s">
        <v>1618</v>
      </c>
    </row>
    <row r="558" spans="1:18" customHeight="1" ht="58">
      <c r="A558" s="16"/>
      <c r="B558" s="18" t="s">
        <v>1609</v>
      </c>
      <c r="C558" s="17" t="s">
        <v>1622</v>
      </c>
      <c r="D558" s="17"/>
      <c r="E558" s="17" t="s">
        <v>1276</v>
      </c>
      <c r="F558" s="19"/>
      <c r="G558" s="20">
        <v>1.0</v>
      </c>
      <c r="H558" s="21"/>
      <c r="I558" s="21">
        <v>520.0</v>
      </c>
      <c r="J558" s="22">
        <v>1.0</v>
      </c>
      <c r="K558" s="50"/>
      <c r="L558" s="21" t="str">
        <f>IF(K558&gt;0,K558*I558,"")</f>
      </c>
      <c r="M558" s="52"/>
      <c r="N558" t="str">
        <f>IF(K558&gt;0,COUNTIF($K$7:K558,"&gt;0"),"")</f>
      </c>
      <c r="O558" t="s">
        <v>1623</v>
      </c>
      <c r="P558" t="s">
        <v>1621</v>
      </c>
      <c r="Q558" t="s">
        <v>1621</v>
      </c>
    </row>
    <row r="559" spans="1:18" customHeight="1" ht="58">
      <c r="A559" s="16"/>
      <c r="B559" s="18" t="s">
        <v>1625</v>
      </c>
      <c r="C559" s="17" t="s">
        <v>1626</v>
      </c>
      <c r="D559" s="17"/>
      <c r="E559" s="17" t="s">
        <v>1311</v>
      </c>
      <c r="F559" s="19"/>
      <c r="G559" s="20">
        <v>1.0</v>
      </c>
      <c r="H559" s="21"/>
      <c r="I559" s="21">
        <v>399.0</v>
      </c>
      <c r="J559" s="22">
        <v>11.0</v>
      </c>
      <c r="K559" s="50"/>
      <c r="L559" s="21" t="str">
        <f>IF(K559&gt;0,K559*I559,"")</f>
      </c>
      <c r="M559" s="52"/>
      <c r="N559" t="str">
        <f>IF(K559&gt;0,COUNTIF($K$7:K559,"&gt;0"),"")</f>
      </c>
      <c r="O559" t="s">
        <v>1627</v>
      </c>
      <c r="P559" t="s">
        <v>1624</v>
      </c>
      <c r="Q559" t="s">
        <v>1624</v>
      </c>
    </row>
    <row r="560" spans="1:18" customHeight="1" ht="58">
      <c r="A560" s="16"/>
      <c r="B560" s="18" t="s">
        <v>1625</v>
      </c>
      <c r="C560" s="17" t="s">
        <v>1629</v>
      </c>
      <c r="D560" s="17"/>
      <c r="E560" s="17" t="s">
        <v>1315</v>
      </c>
      <c r="F560" s="19"/>
      <c r="G560" s="20">
        <v>1.0</v>
      </c>
      <c r="H560" s="21"/>
      <c r="I560" s="21">
        <v>590.0</v>
      </c>
      <c r="J560" s="22">
        <v>13.0</v>
      </c>
      <c r="K560" s="50"/>
      <c r="L560" s="21" t="str">
        <f>IF(K560&gt;0,K560*I560,"")</f>
      </c>
      <c r="M560" s="52"/>
      <c r="N560" t="str">
        <f>IF(K560&gt;0,COUNTIF($K$7:K560,"&gt;0"),"")</f>
      </c>
      <c r="O560" t="s">
        <v>1630</v>
      </c>
      <c r="P560" t="s">
        <v>1628</v>
      </c>
      <c r="Q560" t="s">
        <v>1628</v>
      </c>
    </row>
    <row r="561" spans="1:18" customHeight="1" ht="58">
      <c r="A561" s="16"/>
      <c r="B561" s="18" t="s">
        <v>1625</v>
      </c>
      <c r="C561" s="17" t="s">
        <v>1632</v>
      </c>
      <c r="D561" s="17"/>
      <c r="E561" s="17"/>
      <c r="F561" s="19"/>
      <c r="G561" s="20">
        <v>1.0</v>
      </c>
      <c r="H561" s="21"/>
      <c r="I561" s="21">
        <v>815.0</v>
      </c>
      <c r="J561" s="22">
        <v>16.0</v>
      </c>
      <c r="K561" s="50"/>
      <c r="L561" s="21" t="str">
        <f>IF(K561&gt;0,K561*I561,"")</f>
      </c>
      <c r="M561" s="52"/>
      <c r="N561" t="str">
        <f>IF(K561&gt;0,COUNTIF($K$7:K561,"&gt;0"),"")</f>
      </c>
      <c r="O561" t="s">
        <v>1633</v>
      </c>
      <c r="P561" t="s">
        <v>1631</v>
      </c>
      <c r="Q561" t="s">
        <v>1631</v>
      </c>
    </row>
    <row r="562" spans="1:18" customHeight="1" ht="58">
      <c r="A562" s="16"/>
      <c r="B562" s="18" t="s">
        <v>1625</v>
      </c>
      <c r="C562" s="17" t="s">
        <v>1635</v>
      </c>
      <c r="D562" s="17"/>
      <c r="E562" s="17"/>
      <c r="F562" s="19"/>
      <c r="G562" s="20">
        <v>1.0</v>
      </c>
      <c r="H562" s="21"/>
      <c r="I562" s="21">
        <v>1312.0</v>
      </c>
      <c r="J562" s="22">
        <v>2.0</v>
      </c>
      <c r="K562" s="50"/>
      <c r="L562" s="21" t="str">
        <f>IF(K562&gt;0,K562*I562,"")</f>
      </c>
      <c r="M562" s="52"/>
      <c r="N562" t="str">
        <f>IF(K562&gt;0,COUNTIF($K$7:K562,"&gt;0"),"")</f>
      </c>
      <c r="O562" t="s">
        <v>1636</v>
      </c>
      <c r="P562" t="s">
        <v>1634</v>
      </c>
      <c r="Q562" t="s">
        <v>1634</v>
      </c>
    </row>
    <row r="563" spans="1:18" customHeight="1" ht="58">
      <c r="A563" s="16"/>
      <c r="B563" s="18" t="s">
        <v>1625</v>
      </c>
      <c r="C563" s="17" t="s">
        <v>1638</v>
      </c>
      <c r="D563" s="17"/>
      <c r="E563" s="17" t="s">
        <v>1311</v>
      </c>
      <c r="F563" s="19"/>
      <c r="G563" s="20">
        <v>1.0</v>
      </c>
      <c r="H563" s="21"/>
      <c r="I563" s="21">
        <v>399.0</v>
      </c>
      <c r="J563" s="22">
        <v>1.0</v>
      </c>
      <c r="K563" s="50"/>
      <c r="L563" s="21" t="str">
        <f>IF(K563&gt;0,K563*I563,"")</f>
      </c>
      <c r="M563" s="52"/>
      <c r="N563" t="str">
        <f>IF(K563&gt;0,COUNTIF($K$7:K563,"&gt;0"),"")</f>
      </c>
      <c r="O563" t="s">
        <v>1639</v>
      </c>
      <c r="P563" t="s">
        <v>1637</v>
      </c>
      <c r="Q563" t="s">
        <v>1637</v>
      </c>
    </row>
    <row r="564" spans="1:18" customHeight="1" ht="58">
      <c r="A564" s="16"/>
      <c r="B564" s="18" t="s">
        <v>1625</v>
      </c>
      <c r="C564" s="17" t="s">
        <v>1641</v>
      </c>
      <c r="D564" s="17"/>
      <c r="E564" s="17" t="s">
        <v>1315</v>
      </c>
      <c r="F564" s="19"/>
      <c r="G564" s="20">
        <v>1.0</v>
      </c>
      <c r="H564" s="21"/>
      <c r="I564" s="21">
        <v>590.0</v>
      </c>
      <c r="J564" s="22">
        <v>4.0</v>
      </c>
      <c r="K564" s="50"/>
      <c r="L564" s="21" t="str">
        <f>IF(K564&gt;0,K564*I564,"")</f>
      </c>
      <c r="M564" s="52"/>
      <c r="N564" t="str">
        <f>IF(K564&gt;0,COUNTIF($K$7:K564,"&gt;0"),"")</f>
      </c>
      <c r="O564" t="s">
        <v>1642</v>
      </c>
      <c r="P564" t="s">
        <v>1640</v>
      </c>
      <c r="Q564" t="s">
        <v>1640</v>
      </c>
    </row>
    <row r="565" spans="1:18" customHeight="1" ht="58">
      <c r="A565" s="16"/>
      <c r="B565" s="18" t="s">
        <v>1625</v>
      </c>
      <c r="C565" s="17" t="s">
        <v>1644</v>
      </c>
      <c r="D565" s="17"/>
      <c r="E565" s="17"/>
      <c r="F565" s="19"/>
      <c r="G565" s="20">
        <v>1.0</v>
      </c>
      <c r="H565" s="21"/>
      <c r="I565" s="21">
        <v>815.0</v>
      </c>
      <c r="J565" s="22">
        <v>4.0</v>
      </c>
      <c r="K565" s="50"/>
      <c r="L565" s="21" t="str">
        <f>IF(K565&gt;0,K565*I565,"")</f>
      </c>
      <c r="M565" s="52"/>
      <c r="N565" t="str">
        <f>IF(K565&gt;0,COUNTIF($K$7:K565,"&gt;0"),"")</f>
      </c>
      <c r="O565" t="s">
        <v>1645</v>
      </c>
      <c r="P565" t="s">
        <v>1643</v>
      </c>
      <c r="Q565" t="s">
        <v>1643</v>
      </c>
    </row>
    <row r="566" spans="1:18" customHeight="1" ht="58">
      <c r="A566" s="16"/>
      <c r="B566" s="18" t="s">
        <v>1625</v>
      </c>
      <c r="C566" s="17" t="s">
        <v>1647</v>
      </c>
      <c r="D566" s="17"/>
      <c r="E566" s="17"/>
      <c r="F566" s="19"/>
      <c r="G566" s="20">
        <v>1.0</v>
      </c>
      <c r="H566" s="21"/>
      <c r="I566" s="21">
        <v>1312.0</v>
      </c>
      <c r="J566" s="22">
        <v>3.0</v>
      </c>
      <c r="K566" s="50"/>
      <c r="L566" s="21" t="str">
        <f>IF(K566&gt;0,K566*I566,"")</f>
      </c>
      <c r="M566" s="52"/>
      <c r="N566" t="str">
        <f>IF(K566&gt;0,COUNTIF($K$7:K566,"&gt;0"),"")</f>
      </c>
      <c r="O566" t="s">
        <v>1648</v>
      </c>
      <c r="P566" t="s">
        <v>1646</v>
      </c>
      <c r="Q566" t="s">
        <v>1646</v>
      </c>
    </row>
    <row r="567" spans="1:18" customHeight="1" ht="58">
      <c r="A567" s="16"/>
      <c r="B567" s="18" t="s">
        <v>1625</v>
      </c>
      <c r="C567" s="17" t="s">
        <v>1650</v>
      </c>
      <c r="D567" s="17"/>
      <c r="E567" s="17" t="s">
        <v>1311</v>
      </c>
      <c r="F567" s="19"/>
      <c r="G567" s="20">
        <v>1.0</v>
      </c>
      <c r="H567" s="21"/>
      <c r="I567" s="21">
        <v>399.0</v>
      </c>
      <c r="J567" s="22">
        <v>5.0</v>
      </c>
      <c r="K567" s="50"/>
      <c r="L567" s="21" t="str">
        <f>IF(K567&gt;0,K567*I567,"")</f>
      </c>
      <c r="M567" s="52"/>
      <c r="N567" t="str">
        <f>IF(K567&gt;0,COUNTIF($K$7:K567,"&gt;0"),"")</f>
      </c>
      <c r="O567" t="s">
        <v>1651</v>
      </c>
      <c r="P567" t="s">
        <v>1649</v>
      </c>
      <c r="Q567" t="s">
        <v>1649</v>
      </c>
    </row>
    <row r="568" spans="1:18" customHeight="1" ht="58">
      <c r="A568" s="16"/>
      <c r="B568" s="18" t="s">
        <v>1625</v>
      </c>
      <c r="C568" s="17" t="s">
        <v>1653</v>
      </c>
      <c r="D568" s="17"/>
      <c r="E568" s="17" t="s">
        <v>1315</v>
      </c>
      <c r="F568" s="19"/>
      <c r="G568" s="20">
        <v>1.0</v>
      </c>
      <c r="H568" s="21"/>
      <c r="I568" s="21">
        <v>590.0</v>
      </c>
      <c r="J568" s="22">
        <v>14.0</v>
      </c>
      <c r="K568" s="50"/>
      <c r="L568" s="21" t="str">
        <f>IF(K568&gt;0,K568*I568,"")</f>
      </c>
      <c r="M568" s="52"/>
      <c r="N568" t="str">
        <f>IF(K568&gt;0,COUNTIF($K$7:K568,"&gt;0"),"")</f>
      </c>
      <c r="O568" t="s">
        <v>1654</v>
      </c>
      <c r="P568" t="s">
        <v>1652</v>
      </c>
      <c r="Q568" t="s">
        <v>1652</v>
      </c>
    </row>
    <row r="569" spans="1:18" customHeight="1" ht="58">
      <c r="A569" s="16"/>
      <c r="B569" s="18" t="s">
        <v>1625</v>
      </c>
      <c r="C569" s="17" t="s">
        <v>1656</v>
      </c>
      <c r="D569" s="17"/>
      <c r="E569" s="17"/>
      <c r="F569" s="19"/>
      <c r="G569" s="20">
        <v>1.0</v>
      </c>
      <c r="H569" s="21"/>
      <c r="I569" s="21">
        <v>815.0</v>
      </c>
      <c r="J569" s="22">
        <v>11.0</v>
      </c>
      <c r="K569" s="50"/>
      <c r="L569" s="21" t="str">
        <f>IF(K569&gt;0,K569*I569,"")</f>
      </c>
      <c r="M569" s="52"/>
      <c r="N569" t="str">
        <f>IF(K569&gt;0,COUNTIF($K$7:K569,"&gt;0"),"")</f>
      </c>
      <c r="O569" t="s">
        <v>1657</v>
      </c>
      <c r="P569" t="s">
        <v>1655</v>
      </c>
      <c r="Q569" t="s">
        <v>1655</v>
      </c>
    </row>
    <row r="570" spans="1:18" customHeight="1" ht="58">
      <c r="A570" s="16"/>
      <c r="B570" s="18" t="s">
        <v>1625</v>
      </c>
      <c r="C570" s="17" t="s">
        <v>1659</v>
      </c>
      <c r="D570" s="17"/>
      <c r="E570" s="17"/>
      <c r="F570" s="19"/>
      <c r="G570" s="20">
        <v>1.0</v>
      </c>
      <c r="H570" s="21"/>
      <c r="I570" s="21">
        <v>1312.0</v>
      </c>
      <c r="J570" s="22">
        <v>11.0</v>
      </c>
      <c r="K570" s="50"/>
      <c r="L570" s="21" t="str">
        <f>IF(K570&gt;0,K570*I570,"")</f>
      </c>
      <c r="M570" s="52"/>
      <c r="N570" t="str">
        <f>IF(K570&gt;0,COUNTIF($K$7:K570,"&gt;0"),"")</f>
      </c>
      <c r="O570" t="s">
        <v>1660</v>
      </c>
      <c r="P570" t="s">
        <v>1658</v>
      </c>
      <c r="Q570" t="s">
        <v>1658</v>
      </c>
    </row>
    <row r="571" spans="1:18" customHeight="1" ht="58">
      <c r="A571" s="16"/>
      <c r="B571" s="18" t="s">
        <v>1662</v>
      </c>
      <c r="C571" s="17" t="s">
        <v>1663</v>
      </c>
      <c r="D571" s="17"/>
      <c r="E571" s="17"/>
      <c r="F571" s="19"/>
      <c r="G571" s="20">
        <v>1.0</v>
      </c>
      <c r="H571" s="21"/>
      <c r="I571" s="21">
        <v>434.0</v>
      </c>
      <c r="J571" s="22">
        <v>1.0</v>
      </c>
      <c r="K571" s="50"/>
      <c r="L571" s="21" t="str">
        <f>IF(K571&gt;0,K571*I571,"")</f>
      </c>
      <c r="M571" s="52"/>
      <c r="N571" t="str">
        <f>IF(K571&gt;0,COUNTIF($K$7:K571,"&gt;0"),"")</f>
      </c>
      <c r="O571" t="s">
        <v>1664</v>
      </c>
      <c r="P571" t="s">
        <v>1661</v>
      </c>
      <c r="Q571" t="s">
        <v>1661</v>
      </c>
    </row>
    <row r="572" spans="1:18" customHeight="1" ht="58">
      <c r="A572" s="16"/>
      <c r="B572" s="18" t="s">
        <v>1662</v>
      </c>
      <c r="C572" s="17" t="s">
        <v>1666</v>
      </c>
      <c r="D572" s="17"/>
      <c r="E572" s="17"/>
      <c r="F572" s="19"/>
      <c r="G572" s="20">
        <v>1.0</v>
      </c>
      <c r="H572" s="21"/>
      <c r="I572" s="21">
        <v>197.0</v>
      </c>
      <c r="J572" s="22">
        <v>12.0</v>
      </c>
      <c r="K572" s="50"/>
      <c r="L572" s="21" t="str">
        <f>IF(K572&gt;0,K572*I572,"")</f>
      </c>
      <c r="M572" s="52"/>
      <c r="N572" t="str">
        <f>IF(K572&gt;0,COUNTIF($K$7:K572,"&gt;0"),"")</f>
      </c>
      <c r="O572" t="s">
        <v>1667</v>
      </c>
      <c r="P572" t="s">
        <v>1665</v>
      </c>
      <c r="Q572" t="s">
        <v>1665</v>
      </c>
    </row>
    <row r="573" spans="1:18" customHeight="1" ht="58">
      <c r="A573" s="16"/>
      <c r="B573" s="18" t="s">
        <v>1669</v>
      </c>
      <c r="C573" s="17" t="s">
        <v>1670</v>
      </c>
      <c r="D573" s="17"/>
      <c r="E573" s="17"/>
      <c r="F573" s="19"/>
      <c r="G573" s="20">
        <v>1.0</v>
      </c>
      <c r="H573" s="21"/>
      <c r="I573" s="21">
        <v>550.0</v>
      </c>
      <c r="J573" s="22">
        <v>3.0</v>
      </c>
      <c r="K573" s="50"/>
      <c r="L573" s="21" t="str">
        <f>IF(K573&gt;0,K573*I573,"")</f>
      </c>
      <c r="M573" s="52"/>
      <c r="N573" t="str">
        <f>IF(K573&gt;0,COUNTIF($K$7:K573,"&gt;0"),"")</f>
      </c>
      <c r="O573" t="s">
        <v>1671</v>
      </c>
      <c r="P573" t="s">
        <v>1668</v>
      </c>
      <c r="Q573" t="s">
        <v>1668</v>
      </c>
    </row>
    <row r="574" spans="1:18" customHeight="1" ht="58">
      <c r="A574" s="16"/>
      <c r="B574" s="18" t="s">
        <v>1673</v>
      </c>
      <c r="C574" s="17" t="s">
        <v>1674</v>
      </c>
      <c r="D574" s="17" t="s">
        <v>1675</v>
      </c>
      <c r="E574" s="17" t="s">
        <v>1676</v>
      </c>
      <c r="F574" s="19"/>
      <c r="G574" s="20">
        <v>1.0</v>
      </c>
      <c r="H574" s="21"/>
      <c r="I574" s="21">
        <v>182.0</v>
      </c>
      <c r="J574" s="22">
        <v>15.0</v>
      </c>
      <c r="K574" s="50"/>
      <c r="L574" s="21" t="str">
        <f>IF(K574&gt;0,K574*I574,"")</f>
      </c>
      <c r="M574" s="52"/>
      <c r="N574" t="str">
        <f>IF(K574&gt;0,COUNTIF($K$7:K574,"&gt;0"),"")</f>
      </c>
      <c r="O574" t="s">
        <v>1677</v>
      </c>
      <c r="P574" t="s">
        <v>1672</v>
      </c>
      <c r="Q574" t="s">
        <v>1672</v>
      </c>
    </row>
    <row r="575" spans="1:18" customHeight="1" ht="58">
      <c r="A575" s="16"/>
      <c r="B575" s="18" t="s">
        <v>1673</v>
      </c>
      <c r="C575" s="17" t="s">
        <v>1674</v>
      </c>
      <c r="D575" s="17" t="s">
        <v>1679</v>
      </c>
      <c r="E575" s="17" t="s">
        <v>1676</v>
      </c>
      <c r="F575" s="19"/>
      <c r="G575" s="20">
        <v>1.0</v>
      </c>
      <c r="H575" s="21"/>
      <c r="I575" s="21">
        <v>182.0</v>
      </c>
      <c r="J575" s="22">
        <v>11.0</v>
      </c>
      <c r="K575" s="50"/>
      <c r="L575" s="21" t="str">
        <f>IF(K575&gt;0,K575*I575,"")</f>
      </c>
      <c r="M575" s="52"/>
      <c r="N575" t="str">
        <f>IF(K575&gt;0,COUNTIF($K$7:K575,"&gt;0"),"")</f>
      </c>
      <c r="O575" t="s">
        <v>1680</v>
      </c>
      <c r="P575" t="s">
        <v>1678</v>
      </c>
      <c r="Q575" t="s">
        <v>1678</v>
      </c>
    </row>
    <row r="576" spans="1:18" customHeight="1" ht="58">
      <c r="A576" s="16"/>
      <c r="B576" s="18" t="s">
        <v>1673</v>
      </c>
      <c r="C576" s="17" t="s">
        <v>1674</v>
      </c>
      <c r="D576" s="17" t="s">
        <v>1682</v>
      </c>
      <c r="E576" s="17" t="s">
        <v>1676</v>
      </c>
      <c r="F576" s="19"/>
      <c r="G576" s="20">
        <v>1.0</v>
      </c>
      <c r="H576" s="21"/>
      <c r="I576" s="21">
        <v>182.0</v>
      </c>
      <c r="J576" s="22">
        <v>3.0</v>
      </c>
      <c r="K576" s="50"/>
      <c r="L576" s="21" t="str">
        <f>IF(K576&gt;0,K576*I576,"")</f>
      </c>
      <c r="M576" s="52"/>
      <c r="N576" t="str">
        <f>IF(K576&gt;0,COUNTIF($K$7:K576,"&gt;0"),"")</f>
      </c>
      <c r="O576" t="s">
        <v>1683</v>
      </c>
      <c r="P576" t="s">
        <v>1681</v>
      </c>
      <c r="Q576" t="s">
        <v>1681</v>
      </c>
    </row>
    <row r="577" spans="1:18" customHeight="1" ht="58">
      <c r="A577" s="16"/>
      <c r="B577" s="18" t="s">
        <v>1673</v>
      </c>
      <c r="C577" s="17" t="s">
        <v>1674</v>
      </c>
      <c r="D577" s="17" t="s">
        <v>1685</v>
      </c>
      <c r="E577" s="17" t="s">
        <v>1676</v>
      </c>
      <c r="F577" s="19"/>
      <c r="G577" s="20">
        <v>1.0</v>
      </c>
      <c r="H577" s="21"/>
      <c r="I577" s="21">
        <v>182.0</v>
      </c>
      <c r="J577" s="22">
        <v>1.0</v>
      </c>
      <c r="K577" s="50"/>
      <c r="L577" s="21" t="str">
        <f>IF(K577&gt;0,K577*I577,"")</f>
      </c>
      <c r="M577" s="52"/>
      <c r="N577" t="str">
        <f>IF(K577&gt;0,COUNTIF($K$7:K577,"&gt;0"),"")</f>
      </c>
      <c r="O577" t="s">
        <v>1686</v>
      </c>
      <c r="P577" t="s">
        <v>1684</v>
      </c>
      <c r="Q577" t="s">
        <v>1684</v>
      </c>
    </row>
    <row r="578" spans="1:18" customHeight="1" ht="58">
      <c r="A578" s="16"/>
      <c r="B578" s="18" t="s">
        <v>1673</v>
      </c>
      <c r="C578" s="17" t="s">
        <v>1674</v>
      </c>
      <c r="D578" s="17" t="s">
        <v>1688</v>
      </c>
      <c r="E578" s="17" t="s">
        <v>1676</v>
      </c>
      <c r="F578" s="19"/>
      <c r="G578" s="20">
        <v>1.0</v>
      </c>
      <c r="H578" s="21"/>
      <c r="I578" s="21">
        <v>182.0</v>
      </c>
      <c r="J578" s="22">
        <v>10.0</v>
      </c>
      <c r="K578" s="50"/>
      <c r="L578" s="21" t="str">
        <f>IF(K578&gt;0,K578*I578,"")</f>
      </c>
      <c r="M578" s="52"/>
      <c r="N578" t="str">
        <f>IF(K578&gt;0,COUNTIF($K$7:K578,"&gt;0"),"")</f>
      </c>
      <c r="O578" t="s">
        <v>1689</v>
      </c>
      <c r="P578" t="s">
        <v>1687</v>
      </c>
      <c r="Q578" t="s">
        <v>1687</v>
      </c>
    </row>
    <row r="579" spans="1:18" customHeight="1" ht="58">
      <c r="A579" s="16"/>
      <c r="B579" s="18" t="s">
        <v>1673</v>
      </c>
      <c r="C579" s="17" t="s">
        <v>1674</v>
      </c>
      <c r="D579" s="17" t="s">
        <v>1691</v>
      </c>
      <c r="E579" s="17" t="s">
        <v>1676</v>
      </c>
      <c r="F579" s="19"/>
      <c r="G579" s="20">
        <v>1.0</v>
      </c>
      <c r="H579" s="21"/>
      <c r="I579" s="21">
        <v>182.0</v>
      </c>
      <c r="J579" s="22">
        <v>6.0</v>
      </c>
      <c r="K579" s="50"/>
      <c r="L579" s="21" t="str">
        <f>IF(K579&gt;0,K579*I579,"")</f>
      </c>
      <c r="M579" s="52"/>
      <c r="N579" t="str">
        <f>IF(K579&gt;0,COUNTIF($K$7:K579,"&gt;0"),"")</f>
      </c>
      <c r="O579" t="s">
        <v>1692</v>
      </c>
      <c r="P579" t="s">
        <v>1690</v>
      </c>
      <c r="Q579" t="s">
        <v>1690</v>
      </c>
    </row>
    <row r="580" spans="1:18" customHeight="1" ht="58">
      <c r="A580" s="16"/>
      <c r="B580" s="18" t="s">
        <v>1673</v>
      </c>
      <c r="C580" s="17" t="s">
        <v>1674</v>
      </c>
      <c r="D580" s="17" t="s">
        <v>1694</v>
      </c>
      <c r="E580" s="17" t="s">
        <v>1676</v>
      </c>
      <c r="F580" s="19"/>
      <c r="G580" s="20">
        <v>1.0</v>
      </c>
      <c r="H580" s="21"/>
      <c r="I580" s="21">
        <v>182.0</v>
      </c>
      <c r="J580" s="22">
        <v>1.0</v>
      </c>
      <c r="K580" s="50"/>
      <c r="L580" s="21" t="str">
        <f>IF(K580&gt;0,K580*I580,"")</f>
      </c>
      <c r="M580" s="52"/>
      <c r="N580" t="str">
        <f>IF(K580&gt;0,COUNTIF($K$7:K580,"&gt;0"),"")</f>
      </c>
      <c r="O580" t="s">
        <v>1695</v>
      </c>
      <c r="P580" t="s">
        <v>1693</v>
      </c>
      <c r="Q580" t="s">
        <v>1693</v>
      </c>
    </row>
    <row r="581" spans="1:18" customHeight="1" ht="58">
      <c r="A581" s="16"/>
      <c r="B581" s="18" t="s">
        <v>1697</v>
      </c>
      <c r="C581" s="17" t="s">
        <v>1698</v>
      </c>
      <c r="D581" s="17" t="s">
        <v>1699</v>
      </c>
      <c r="E581" s="17" t="s">
        <v>1700</v>
      </c>
      <c r="F581" s="19"/>
      <c r="G581" s="20">
        <v>1.0</v>
      </c>
      <c r="H581" s="21"/>
      <c r="I581" s="21">
        <v>532.0</v>
      </c>
      <c r="J581" s="22">
        <v>1.0</v>
      </c>
      <c r="K581" s="50"/>
      <c r="L581" s="21" t="str">
        <f>IF(K581&gt;0,K581*I581,"")</f>
      </c>
      <c r="M581" s="52"/>
      <c r="N581" t="str">
        <f>IF(K581&gt;0,COUNTIF($K$7:K581,"&gt;0"),"")</f>
      </c>
      <c r="O581" t="s">
        <v>1701</v>
      </c>
      <c r="P581" t="s">
        <v>1696</v>
      </c>
      <c r="Q581" t="s">
        <v>1696</v>
      </c>
    </row>
    <row r="582" spans="1:18" customHeight="1" ht="58">
      <c r="A582" s="16"/>
      <c r="B582" s="18" t="s">
        <v>1703</v>
      </c>
      <c r="C582" s="17" t="s">
        <v>1704</v>
      </c>
      <c r="D582" s="17" t="s">
        <v>1705</v>
      </c>
      <c r="E582" s="17" t="s">
        <v>1706</v>
      </c>
      <c r="F582" s="19"/>
      <c r="G582" s="20">
        <v>1.0</v>
      </c>
      <c r="H582" s="21"/>
      <c r="I582" s="21">
        <v>821.0</v>
      </c>
      <c r="J582" s="22">
        <v>1.0</v>
      </c>
      <c r="K582" s="50"/>
      <c r="L582" s="21" t="str">
        <f>IF(K582&gt;0,K582*I582,"")</f>
      </c>
      <c r="M582" s="52"/>
      <c r="N582" t="str">
        <f>IF(K582&gt;0,COUNTIF($K$7:K582,"&gt;0"),"")</f>
      </c>
      <c r="O582" t="s">
        <v>1707</v>
      </c>
      <c r="P582" t="s">
        <v>1702</v>
      </c>
      <c r="Q582" t="s">
        <v>1702</v>
      </c>
    </row>
    <row r="583" spans="1:18" customHeight="1" ht="58">
      <c r="A583" s="16"/>
      <c r="B583" s="18" t="s">
        <v>1709</v>
      </c>
      <c r="C583" s="17" t="s">
        <v>1710</v>
      </c>
      <c r="D583" s="17"/>
      <c r="E583" s="17"/>
      <c r="F583" s="19"/>
      <c r="G583" s="20">
        <v>1.0</v>
      </c>
      <c r="H583" s="21"/>
      <c r="I583" s="21">
        <v>342.0</v>
      </c>
      <c r="J583" s="22">
        <v>13.0</v>
      </c>
      <c r="K583" s="50"/>
      <c r="L583" s="21" t="str">
        <f>IF(K583&gt;0,K583*I583,"")</f>
      </c>
      <c r="M583" s="52"/>
      <c r="N583" t="str">
        <f>IF(K583&gt;0,COUNTIF($K$7:K583,"&gt;0"),"")</f>
      </c>
      <c r="O583" t="s">
        <v>1711</v>
      </c>
      <c r="P583" t="s">
        <v>1708</v>
      </c>
      <c r="Q583" t="s">
        <v>1708</v>
      </c>
    </row>
    <row r="584" spans="1:18" customHeight="1" ht="58">
      <c r="A584" s="16"/>
      <c r="B584" s="18" t="s">
        <v>1709</v>
      </c>
      <c r="C584" s="17" t="s">
        <v>1713</v>
      </c>
      <c r="D584" s="17"/>
      <c r="E584" s="17"/>
      <c r="F584" s="19"/>
      <c r="G584" s="20">
        <v>1.0</v>
      </c>
      <c r="H584" s="21"/>
      <c r="I584" s="21">
        <v>492.0</v>
      </c>
      <c r="J584" s="22">
        <v>5.0</v>
      </c>
      <c r="K584" s="50"/>
      <c r="L584" s="21" t="str">
        <f>IF(K584&gt;0,K584*I584,"")</f>
      </c>
      <c r="M584" s="52"/>
      <c r="N584" t="str">
        <f>IF(K584&gt;0,COUNTIF($K$7:K584,"&gt;0"),"")</f>
      </c>
      <c r="O584" t="s">
        <v>1714</v>
      </c>
      <c r="P584" t="s">
        <v>1712</v>
      </c>
      <c r="Q584" t="s">
        <v>1712</v>
      </c>
    </row>
    <row r="585" spans="1:18" customHeight="1" ht="58">
      <c r="A585" s="16"/>
      <c r="B585" s="18" t="s">
        <v>1709</v>
      </c>
      <c r="C585" s="17" t="s">
        <v>1716</v>
      </c>
      <c r="D585" s="17"/>
      <c r="E585" s="17"/>
      <c r="F585" s="19"/>
      <c r="G585" s="20">
        <v>1.0</v>
      </c>
      <c r="H585" s="21"/>
      <c r="I585" s="21">
        <v>758.0</v>
      </c>
      <c r="J585" s="22">
        <v>7.0</v>
      </c>
      <c r="K585" s="50"/>
      <c r="L585" s="21" t="str">
        <f>IF(K585&gt;0,K585*I585,"")</f>
      </c>
      <c r="M585" s="52"/>
      <c r="N585" t="str">
        <f>IF(K585&gt;0,COUNTIF($K$7:K585,"&gt;0"),"")</f>
      </c>
      <c r="O585" t="s">
        <v>1717</v>
      </c>
      <c r="P585" t="s">
        <v>1715</v>
      </c>
      <c r="Q585" t="s">
        <v>1715</v>
      </c>
    </row>
    <row r="586" spans="1:18" customHeight="1" ht="58">
      <c r="A586" s="16"/>
      <c r="B586" s="18" t="s">
        <v>1709</v>
      </c>
      <c r="C586" s="17" t="s">
        <v>1719</v>
      </c>
      <c r="D586" s="17"/>
      <c r="E586" s="17"/>
      <c r="F586" s="19"/>
      <c r="G586" s="20">
        <v>1.0</v>
      </c>
      <c r="H586" s="21"/>
      <c r="I586" s="21">
        <v>231.0</v>
      </c>
      <c r="J586" s="22">
        <v>7.0</v>
      </c>
      <c r="K586" s="50"/>
      <c r="L586" s="21" t="str">
        <f>IF(K586&gt;0,K586*I586,"")</f>
      </c>
      <c r="M586" s="52"/>
      <c r="N586" t="str">
        <f>IF(K586&gt;0,COUNTIF($K$7:K586,"&gt;0"),"")</f>
      </c>
      <c r="O586" t="s">
        <v>1720</v>
      </c>
      <c r="P586" t="s">
        <v>1718</v>
      </c>
      <c r="Q586" t="s">
        <v>1718</v>
      </c>
    </row>
    <row r="587" spans="1:18" customHeight="1" ht="58">
      <c r="A587" s="16"/>
      <c r="B587" s="18" t="s">
        <v>1709</v>
      </c>
      <c r="C587" s="17" t="s">
        <v>1722</v>
      </c>
      <c r="D587" s="17"/>
      <c r="E587" s="17"/>
      <c r="F587" s="19"/>
      <c r="G587" s="20">
        <v>1.0</v>
      </c>
      <c r="H587" s="21"/>
      <c r="I587" s="21">
        <v>231.0</v>
      </c>
      <c r="J587" s="22">
        <v>7.0</v>
      </c>
      <c r="K587" s="50"/>
      <c r="L587" s="21" t="str">
        <f>IF(K587&gt;0,K587*I587,"")</f>
      </c>
      <c r="M587" s="52"/>
      <c r="N587" t="str">
        <f>IF(K587&gt;0,COUNTIF($K$7:K587,"&gt;0"),"")</f>
      </c>
      <c r="O587" t="s">
        <v>1723</v>
      </c>
      <c r="P587" t="s">
        <v>1721</v>
      </c>
      <c r="Q587" t="s">
        <v>1721</v>
      </c>
    </row>
    <row r="588" spans="1:18" customHeight="1" ht="58">
      <c r="A588" s="16"/>
      <c r="B588" s="18" t="s">
        <v>1709</v>
      </c>
      <c r="C588" s="17" t="s">
        <v>1725</v>
      </c>
      <c r="D588" s="17"/>
      <c r="E588" s="17"/>
      <c r="F588" s="19"/>
      <c r="G588" s="20">
        <v>1.0</v>
      </c>
      <c r="H588" s="21"/>
      <c r="I588" s="21">
        <v>342.0</v>
      </c>
      <c r="J588" s="22">
        <v>5.0</v>
      </c>
      <c r="K588" s="50"/>
      <c r="L588" s="21" t="str">
        <f>IF(K588&gt;0,K588*I588,"")</f>
      </c>
      <c r="M588" s="52"/>
      <c r="N588" t="str">
        <f>IF(K588&gt;0,COUNTIF($K$7:K588,"&gt;0"),"")</f>
      </c>
      <c r="O588" t="s">
        <v>1726</v>
      </c>
      <c r="P588" t="s">
        <v>1724</v>
      </c>
      <c r="Q588" t="s">
        <v>1724</v>
      </c>
    </row>
    <row r="589" spans="1:18" customHeight="1" ht="58">
      <c r="A589" s="16"/>
      <c r="B589" s="18" t="s">
        <v>1709</v>
      </c>
      <c r="C589" s="17" t="s">
        <v>1728</v>
      </c>
      <c r="D589" s="17"/>
      <c r="E589" s="17"/>
      <c r="F589" s="19"/>
      <c r="G589" s="20">
        <v>1.0</v>
      </c>
      <c r="H589" s="21"/>
      <c r="I589" s="21">
        <v>492.0</v>
      </c>
      <c r="J589" s="22">
        <v>9.0</v>
      </c>
      <c r="K589" s="50"/>
      <c r="L589" s="21" t="str">
        <f>IF(K589&gt;0,K589*I589,"")</f>
      </c>
      <c r="M589" s="52"/>
      <c r="N589" t="str">
        <f>IF(K589&gt;0,COUNTIF($K$7:K589,"&gt;0"),"")</f>
      </c>
      <c r="O589" t="s">
        <v>1729</v>
      </c>
      <c r="P589" t="s">
        <v>1727</v>
      </c>
      <c r="Q589" t="s">
        <v>1727</v>
      </c>
    </row>
    <row r="590" spans="1:18" customHeight="1" ht="58">
      <c r="A590" s="16"/>
      <c r="B590" s="18" t="s">
        <v>1731</v>
      </c>
      <c r="C590" s="17" t="s">
        <v>1732</v>
      </c>
      <c r="D590" s="17"/>
      <c r="E590" s="17"/>
      <c r="F590" s="19"/>
      <c r="G590" s="20">
        <v>1.0</v>
      </c>
      <c r="H590" s="21"/>
      <c r="I590" s="21">
        <v>249.0</v>
      </c>
      <c r="J590" s="22">
        <v>3.0</v>
      </c>
      <c r="K590" s="50"/>
      <c r="L590" s="21" t="str">
        <f>IF(K590&gt;0,K590*I590,"")</f>
      </c>
      <c r="M590" s="52"/>
      <c r="N590" t="str">
        <f>IF(K590&gt;0,COUNTIF($K$7:K590,"&gt;0"),"")</f>
      </c>
      <c r="O590" t="s">
        <v>1733</v>
      </c>
      <c r="P590" t="s">
        <v>1730</v>
      </c>
      <c r="Q590" t="s">
        <v>1730</v>
      </c>
    </row>
    <row r="591" spans="1:18" customHeight="1" ht="58">
      <c r="A591" s="16"/>
      <c r="B591" s="18" t="s">
        <v>1731</v>
      </c>
      <c r="C591" s="17" t="s">
        <v>1735</v>
      </c>
      <c r="D591" s="17"/>
      <c r="E591" s="17"/>
      <c r="F591" s="19"/>
      <c r="G591" s="20">
        <v>1.0</v>
      </c>
      <c r="H591" s="21"/>
      <c r="I591" s="21">
        <v>353.0</v>
      </c>
      <c r="J591" s="22">
        <v>9.0</v>
      </c>
      <c r="K591" s="50"/>
      <c r="L591" s="21" t="str">
        <f>IF(K591&gt;0,K591*I591,"")</f>
      </c>
      <c r="M591" s="52"/>
      <c r="N591" t="str">
        <f>IF(K591&gt;0,COUNTIF($K$7:K591,"&gt;0"),"")</f>
      </c>
      <c r="O591" t="s">
        <v>1736</v>
      </c>
      <c r="P591" t="s">
        <v>1734</v>
      </c>
      <c r="Q591" t="s">
        <v>1734</v>
      </c>
    </row>
    <row r="592" spans="1:18" customHeight="1" ht="58">
      <c r="A592" s="16"/>
      <c r="B592" s="18" t="s">
        <v>1731</v>
      </c>
      <c r="C592" s="17" t="s">
        <v>1738</v>
      </c>
      <c r="D592" s="17"/>
      <c r="E592" s="17"/>
      <c r="F592" s="19"/>
      <c r="G592" s="20">
        <v>1.0</v>
      </c>
      <c r="H592" s="21"/>
      <c r="I592" s="21">
        <v>246.0</v>
      </c>
      <c r="J592" s="22">
        <v>6.0</v>
      </c>
      <c r="K592" s="50"/>
      <c r="L592" s="21" t="str">
        <f>IF(K592&gt;0,K592*I592,"")</f>
      </c>
      <c r="M592" s="52"/>
      <c r="N592" t="str">
        <f>IF(K592&gt;0,COUNTIF($K$7:K592,"&gt;0"),"")</f>
      </c>
      <c r="O592" t="s">
        <v>1739</v>
      </c>
      <c r="P592" t="s">
        <v>1737</v>
      </c>
      <c r="Q592" t="s">
        <v>1737</v>
      </c>
    </row>
    <row r="593" spans="1:18" customHeight="1" ht="58">
      <c r="A593" s="16"/>
      <c r="B593" s="18" t="s">
        <v>1731</v>
      </c>
      <c r="C593" s="17" t="s">
        <v>1741</v>
      </c>
      <c r="D593" s="17"/>
      <c r="E593" s="17"/>
      <c r="F593" s="19"/>
      <c r="G593" s="20">
        <v>1.0</v>
      </c>
      <c r="H593" s="21"/>
      <c r="I593" s="21">
        <v>353.0</v>
      </c>
      <c r="J593" s="22">
        <v>3.0</v>
      </c>
      <c r="K593" s="50"/>
      <c r="L593" s="21" t="str">
        <f>IF(K593&gt;0,K593*I593,"")</f>
      </c>
      <c r="M593" s="52"/>
      <c r="N593" t="str">
        <f>IF(K593&gt;0,COUNTIF($K$7:K593,"&gt;0"),"")</f>
      </c>
      <c r="O593" t="s">
        <v>1742</v>
      </c>
      <c r="P593" t="s">
        <v>1740</v>
      </c>
      <c r="Q593" t="s">
        <v>1740</v>
      </c>
    </row>
    <row r="594" spans="1:18" customHeight="1" ht="58">
      <c r="A594" s="16"/>
      <c r="B594" s="18" t="s">
        <v>1731</v>
      </c>
      <c r="C594" s="17" t="s">
        <v>1744</v>
      </c>
      <c r="D594" s="17"/>
      <c r="E594" s="17"/>
      <c r="F594" s="19"/>
      <c r="G594" s="20">
        <v>1.0</v>
      </c>
      <c r="H594" s="21"/>
      <c r="I594" s="21">
        <v>520.0</v>
      </c>
      <c r="J594" s="22">
        <v>12.0</v>
      </c>
      <c r="K594" s="50"/>
      <c r="L594" s="21" t="str">
        <f>IF(K594&gt;0,K594*I594,"")</f>
      </c>
      <c r="M594" s="52"/>
      <c r="N594" t="str">
        <f>IF(K594&gt;0,COUNTIF($K$7:K594,"&gt;0"),"")</f>
      </c>
      <c r="O594" t="s">
        <v>1745</v>
      </c>
      <c r="P594" t="s">
        <v>1743</v>
      </c>
      <c r="Q594" t="s">
        <v>1743</v>
      </c>
    </row>
    <row r="595" spans="1:18" customHeight="1" ht="58">
      <c r="A595" s="16"/>
      <c r="B595" s="18" t="s">
        <v>1747</v>
      </c>
      <c r="C595" s="17" t="s">
        <v>1748</v>
      </c>
      <c r="D595" s="17" t="s">
        <v>1749</v>
      </c>
      <c r="E595" s="17" t="s">
        <v>793</v>
      </c>
      <c r="F595" s="19"/>
      <c r="G595" s="20">
        <v>1.0</v>
      </c>
      <c r="H595" s="21"/>
      <c r="I595" s="21">
        <v>659.0</v>
      </c>
      <c r="J595" s="22">
        <v>8.0</v>
      </c>
      <c r="K595" s="50"/>
      <c r="L595" s="21" t="str">
        <f>IF(K595&gt;0,K595*I595,"")</f>
      </c>
      <c r="M595" s="52"/>
      <c r="N595" t="str">
        <f>IF(K595&gt;0,COUNTIF($K$7:K595,"&gt;0"),"")</f>
      </c>
      <c r="O595" t="s">
        <v>1750</v>
      </c>
      <c r="P595" t="s">
        <v>1746</v>
      </c>
      <c r="Q595" t="s">
        <v>1746</v>
      </c>
    </row>
    <row r="596" spans="1:18" customHeight="1" ht="58">
      <c r="A596" s="16"/>
      <c r="B596" s="18" t="s">
        <v>1752</v>
      </c>
      <c r="C596" s="17" t="s">
        <v>1753</v>
      </c>
      <c r="D596" s="17"/>
      <c r="E596" s="17"/>
      <c r="F596" s="19"/>
      <c r="G596" s="20">
        <v>1.0</v>
      </c>
      <c r="H596" s="21"/>
      <c r="I596" s="21">
        <v>104.0</v>
      </c>
      <c r="J596" s="22">
        <v>99.0</v>
      </c>
      <c r="K596" s="50"/>
      <c r="L596" s="21" t="str">
        <f>IF(K596&gt;0,K596*I596,"")</f>
      </c>
      <c r="M596" s="52"/>
      <c r="N596" t="str">
        <f>IF(K596&gt;0,COUNTIF($K$7:K596,"&gt;0"),"")</f>
      </c>
      <c r="O596" t="s">
        <v>1754</v>
      </c>
      <c r="P596" t="s">
        <v>1751</v>
      </c>
      <c r="Q596" t="s">
        <v>1751</v>
      </c>
    </row>
    <row r="597" spans="1:18" customHeight="1" ht="58">
      <c r="A597" s="16"/>
      <c r="B597" s="18" t="s">
        <v>1756</v>
      </c>
      <c r="C597" s="17" t="s">
        <v>1757</v>
      </c>
      <c r="D597" s="17" t="s">
        <v>1758</v>
      </c>
      <c r="E597" s="17" t="s">
        <v>1759</v>
      </c>
      <c r="F597" s="19"/>
      <c r="G597" s="20">
        <v>1.0</v>
      </c>
      <c r="H597" s="21"/>
      <c r="I597" s="21">
        <v>301.0</v>
      </c>
      <c r="J597" s="22">
        <v>1.0</v>
      </c>
      <c r="K597" s="50"/>
      <c r="L597" s="21" t="str">
        <f>IF(K597&gt;0,K597*I597,"")</f>
      </c>
      <c r="M597" s="52"/>
      <c r="N597" t="str">
        <f>IF(K597&gt;0,COUNTIF($K$7:K597,"&gt;0"),"")</f>
      </c>
      <c r="O597" t="s">
        <v>1760</v>
      </c>
      <c r="P597" t="s">
        <v>1755</v>
      </c>
      <c r="Q597" t="s">
        <v>1755</v>
      </c>
    </row>
    <row r="598" spans="1:18" customHeight="1" ht="58">
      <c r="A598" s="16"/>
      <c r="B598" s="18" t="s">
        <v>1762</v>
      </c>
      <c r="C598" s="17" t="s">
        <v>1763</v>
      </c>
      <c r="D598" s="17"/>
      <c r="E598" s="17"/>
      <c r="F598" s="19"/>
      <c r="G598" s="20">
        <v>1.0</v>
      </c>
      <c r="H598" s="21"/>
      <c r="I598" s="21">
        <v>1022.0</v>
      </c>
      <c r="J598" s="22">
        <v>2.0</v>
      </c>
      <c r="K598" s="50"/>
      <c r="L598" s="21" t="str">
        <f>IF(K598&gt;0,K598*I598,"")</f>
      </c>
      <c r="M598" s="52"/>
      <c r="N598" t="str">
        <f>IF(K598&gt;0,COUNTIF($K$7:K598,"&gt;0"),"")</f>
      </c>
      <c r="O598" t="s">
        <v>1764</v>
      </c>
      <c r="P598" t="s">
        <v>1761</v>
      </c>
      <c r="Q598" t="s">
        <v>1761</v>
      </c>
    </row>
    <row r="599" spans="1:18" customHeight="1" ht="58">
      <c r="A599" s="16"/>
      <c r="B599" s="18" t="s">
        <v>1766</v>
      </c>
      <c r="C599" s="17" t="s">
        <v>1767</v>
      </c>
      <c r="D599" s="17" t="s">
        <v>1768</v>
      </c>
      <c r="E599" s="17" t="s">
        <v>1194</v>
      </c>
      <c r="F599" s="19"/>
      <c r="G599" s="20">
        <v>1.0</v>
      </c>
      <c r="H599" s="21"/>
      <c r="I599" s="21">
        <v>5094.0</v>
      </c>
      <c r="J599" s="22">
        <v>4.0</v>
      </c>
      <c r="K599" s="50"/>
      <c r="L599" s="21" t="str">
        <f>IF(K599&gt;0,K599*I599,"")</f>
      </c>
      <c r="M599" s="52"/>
      <c r="N599" t="str">
        <f>IF(K599&gt;0,COUNTIF($K$7:K599,"&gt;0"),"")</f>
      </c>
      <c r="O599" t="s">
        <v>1769</v>
      </c>
      <c r="P599" t="s">
        <v>1765</v>
      </c>
      <c r="Q599" t="s">
        <v>1765</v>
      </c>
    </row>
    <row r="600" spans="1:18" customHeight="1" ht="58">
      <c r="A600" s="16"/>
      <c r="B600" s="18" t="s">
        <v>1771</v>
      </c>
      <c r="C600" s="17" t="s">
        <v>1772</v>
      </c>
      <c r="D600" s="17" t="s">
        <v>1773</v>
      </c>
      <c r="E600" s="17" t="s">
        <v>1774</v>
      </c>
      <c r="F600" s="19"/>
      <c r="G600" s="20">
        <v>1.0</v>
      </c>
      <c r="H600" s="21"/>
      <c r="I600" s="21">
        <v>769.0</v>
      </c>
      <c r="J600" s="22">
        <v>2.0</v>
      </c>
      <c r="K600" s="50"/>
      <c r="L600" s="21" t="str">
        <f>IF(K600&gt;0,K600*I600,"")</f>
      </c>
      <c r="M600" s="52"/>
      <c r="N600" t="str">
        <f>IF(K600&gt;0,COUNTIF($K$7:K600,"&gt;0"),"")</f>
      </c>
      <c r="O600" t="s">
        <v>1775</v>
      </c>
      <c r="P600" t="s">
        <v>1770</v>
      </c>
      <c r="Q600" t="s">
        <v>1770</v>
      </c>
    </row>
    <row r="601" spans="1:18" customHeight="1" ht="58">
      <c r="A601" s="16"/>
      <c r="B601" s="18" t="s">
        <v>1777</v>
      </c>
      <c r="C601" s="17" t="s">
        <v>1778</v>
      </c>
      <c r="D601" s="17" t="s">
        <v>1779</v>
      </c>
      <c r="E601" s="17" t="s">
        <v>397</v>
      </c>
      <c r="F601" s="19"/>
      <c r="G601" s="20">
        <v>1.0</v>
      </c>
      <c r="H601" s="21"/>
      <c r="I601" s="21">
        <v>1883.0</v>
      </c>
      <c r="J601" s="22">
        <v>9.0</v>
      </c>
      <c r="K601" s="50"/>
      <c r="L601" s="21" t="str">
        <f>IF(K601&gt;0,K601*I601,"")</f>
      </c>
      <c r="M601" s="52"/>
      <c r="N601" t="str">
        <f>IF(K601&gt;0,COUNTIF($K$7:K601,"&gt;0"),"")</f>
      </c>
      <c r="O601" t="s">
        <v>1780</v>
      </c>
      <c r="P601" t="s">
        <v>1776</v>
      </c>
      <c r="Q601" t="s">
        <v>1776</v>
      </c>
    </row>
    <row r="602" spans="1:18" customHeight="1" ht="58">
      <c r="A602" s="16"/>
      <c r="B602" s="18" t="s">
        <v>1777</v>
      </c>
      <c r="C602" s="17" t="s">
        <v>1778</v>
      </c>
      <c r="D602" s="17" t="s">
        <v>1782</v>
      </c>
      <c r="E602" s="17" t="s">
        <v>397</v>
      </c>
      <c r="F602" s="19"/>
      <c r="G602" s="20">
        <v>1.0</v>
      </c>
      <c r="H602" s="21"/>
      <c r="I602" s="21">
        <v>1883.0</v>
      </c>
      <c r="J602" s="22">
        <v>1.0</v>
      </c>
      <c r="K602" s="50"/>
      <c r="L602" s="21" t="str">
        <f>IF(K602&gt;0,K602*I602,"")</f>
      </c>
      <c r="M602" s="52"/>
      <c r="N602" t="str">
        <f>IF(K602&gt;0,COUNTIF($K$7:K602,"&gt;0"),"")</f>
      </c>
      <c r="O602" t="s">
        <v>1783</v>
      </c>
      <c r="P602" t="s">
        <v>1781</v>
      </c>
      <c r="Q602" t="s">
        <v>1781</v>
      </c>
    </row>
    <row r="603" spans="1:18" customHeight="1" ht="58">
      <c r="A603" s="16"/>
      <c r="B603" s="18" t="s">
        <v>1777</v>
      </c>
      <c r="C603" s="17" t="s">
        <v>1778</v>
      </c>
      <c r="D603" s="17" t="s">
        <v>1785</v>
      </c>
      <c r="E603" s="17" t="s">
        <v>397</v>
      </c>
      <c r="F603" s="19"/>
      <c r="G603" s="20">
        <v>1.0</v>
      </c>
      <c r="H603" s="21"/>
      <c r="I603" s="21">
        <v>1883.0</v>
      </c>
      <c r="J603" s="22">
        <v>5.0</v>
      </c>
      <c r="K603" s="50"/>
      <c r="L603" s="21" t="str">
        <f>IF(K603&gt;0,K603*I603,"")</f>
      </c>
      <c r="M603" s="52"/>
      <c r="N603" t="str">
        <f>IF(K603&gt;0,COUNTIF($K$7:K603,"&gt;0"),"")</f>
      </c>
      <c r="O603" t="s">
        <v>1786</v>
      </c>
      <c r="P603" t="s">
        <v>1784</v>
      </c>
      <c r="Q603" t="s">
        <v>1784</v>
      </c>
    </row>
    <row r="604" spans="1:18" customHeight="1" ht="58">
      <c r="A604" s="16"/>
      <c r="B604" s="18" t="s">
        <v>1777</v>
      </c>
      <c r="C604" s="17" t="s">
        <v>1778</v>
      </c>
      <c r="D604" s="17" t="s">
        <v>1788</v>
      </c>
      <c r="E604" s="17" t="s">
        <v>397</v>
      </c>
      <c r="F604" s="19"/>
      <c r="G604" s="20">
        <v>1.0</v>
      </c>
      <c r="H604" s="21"/>
      <c r="I604" s="21">
        <v>1883.0</v>
      </c>
      <c r="J604" s="22">
        <v>3.0</v>
      </c>
      <c r="K604" s="50"/>
      <c r="L604" s="21" t="str">
        <f>IF(K604&gt;0,K604*I604,"")</f>
      </c>
      <c r="M604" s="52"/>
      <c r="N604" t="str">
        <f>IF(K604&gt;0,COUNTIF($K$7:K604,"&gt;0"),"")</f>
      </c>
      <c r="O604" t="s">
        <v>1789</v>
      </c>
      <c r="P604" t="s">
        <v>1787</v>
      </c>
      <c r="Q604" t="s">
        <v>1787</v>
      </c>
    </row>
    <row r="605" spans="1:18" customHeight="1" ht="58">
      <c r="A605" s="16"/>
      <c r="B605" s="18" t="s">
        <v>1777</v>
      </c>
      <c r="C605" s="17" t="s">
        <v>1778</v>
      </c>
      <c r="D605" s="17" t="s">
        <v>1791</v>
      </c>
      <c r="E605" s="17" t="s">
        <v>397</v>
      </c>
      <c r="F605" s="19"/>
      <c r="G605" s="20">
        <v>1.0</v>
      </c>
      <c r="H605" s="21"/>
      <c r="I605" s="21">
        <v>1883.0</v>
      </c>
      <c r="J605" s="22">
        <v>3.0</v>
      </c>
      <c r="K605" s="50"/>
      <c r="L605" s="21" t="str">
        <f>IF(K605&gt;0,K605*I605,"")</f>
      </c>
      <c r="M605" s="52"/>
      <c r="N605" t="str">
        <f>IF(K605&gt;0,COUNTIF($K$7:K605,"&gt;0"),"")</f>
      </c>
      <c r="O605" t="s">
        <v>1792</v>
      </c>
      <c r="P605" t="s">
        <v>1790</v>
      </c>
      <c r="Q605" t="s">
        <v>1790</v>
      </c>
    </row>
    <row r="606" spans="1:18" customHeight="1" ht="58">
      <c r="A606" s="16"/>
      <c r="B606" s="18" t="s">
        <v>1777</v>
      </c>
      <c r="C606" s="17" t="s">
        <v>1778</v>
      </c>
      <c r="D606" s="17" t="s">
        <v>1794</v>
      </c>
      <c r="E606" s="17" t="s">
        <v>397</v>
      </c>
      <c r="F606" s="19"/>
      <c r="G606" s="20">
        <v>1.0</v>
      </c>
      <c r="H606" s="21"/>
      <c r="I606" s="21">
        <v>1883.0</v>
      </c>
      <c r="J606" s="22">
        <v>9.0</v>
      </c>
      <c r="K606" s="50"/>
      <c r="L606" s="21" t="str">
        <f>IF(K606&gt;0,K606*I606,"")</f>
      </c>
      <c r="M606" s="52"/>
      <c r="N606" t="str">
        <f>IF(K606&gt;0,COUNTIF($K$7:K606,"&gt;0"),"")</f>
      </c>
      <c r="O606" t="s">
        <v>1795</v>
      </c>
      <c r="P606" t="s">
        <v>1793</v>
      </c>
      <c r="Q606" t="s">
        <v>1793</v>
      </c>
    </row>
    <row r="607" spans="1:18" customHeight="1" ht="58">
      <c r="A607" s="16"/>
      <c r="B607" s="18" t="s">
        <v>1797</v>
      </c>
      <c r="C607" s="17" t="s">
        <v>1798</v>
      </c>
      <c r="D607" s="17" t="s">
        <v>1799</v>
      </c>
      <c r="E607" s="17" t="s">
        <v>1800</v>
      </c>
      <c r="F607" s="19"/>
      <c r="G607" s="20">
        <v>1.0</v>
      </c>
      <c r="H607" s="21"/>
      <c r="I607" s="21">
        <v>7115.0</v>
      </c>
      <c r="J607" s="22">
        <v>2.0</v>
      </c>
      <c r="K607" s="50"/>
      <c r="L607" s="21" t="str">
        <f>IF(K607&gt;0,K607*I607,"")</f>
      </c>
      <c r="M607" s="52"/>
      <c r="N607" t="str">
        <f>IF(K607&gt;0,COUNTIF($K$7:K607,"&gt;0"),"")</f>
      </c>
      <c r="O607" t="s">
        <v>1801</v>
      </c>
      <c r="P607" t="s">
        <v>1796</v>
      </c>
      <c r="Q607" t="s">
        <v>1796</v>
      </c>
    </row>
    <row r="608" spans="1:18" customHeight="1" ht="58">
      <c r="A608" s="16"/>
      <c r="B608" s="18" t="s">
        <v>1797</v>
      </c>
      <c r="C608" s="17" t="s">
        <v>1798</v>
      </c>
      <c r="D608" s="17" t="s">
        <v>1803</v>
      </c>
      <c r="E608" s="17" t="s">
        <v>1800</v>
      </c>
      <c r="F608" s="19"/>
      <c r="G608" s="20">
        <v>1.0</v>
      </c>
      <c r="H608" s="21"/>
      <c r="I608" s="21">
        <v>7115.0</v>
      </c>
      <c r="J608" s="22">
        <v>7.0</v>
      </c>
      <c r="K608" s="50"/>
      <c r="L608" s="21" t="str">
        <f>IF(K608&gt;0,K608*I608,"")</f>
      </c>
      <c r="M608" s="52"/>
      <c r="N608" t="str">
        <f>IF(K608&gt;0,COUNTIF($K$7:K608,"&gt;0"),"")</f>
      </c>
      <c r="O608" t="s">
        <v>1804</v>
      </c>
      <c r="P608" t="s">
        <v>1802</v>
      </c>
      <c r="Q608" t="s">
        <v>1802</v>
      </c>
    </row>
    <row r="609" spans="1:18" customHeight="1" ht="58">
      <c r="A609" s="16"/>
      <c r="B609" s="18" t="s">
        <v>1806</v>
      </c>
      <c r="C609" s="17" t="s">
        <v>1807</v>
      </c>
      <c r="D609" s="17" t="s">
        <v>1808</v>
      </c>
      <c r="E609" s="17" t="s">
        <v>1809</v>
      </c>
      <c r="F609" s="19"/>
      <c r="G609" s="20">
        <v>1.0</v>
      </c>
      <c r="H609" s="21"/>
      <c r="I609" s="21">
        <v>578.0</v>
      </c>
      <c r="J609" s="22">
        <v>5.0</v>
      </c>
      <c r="K609" s="50"/>
      <c r="L609" s="21" t="str">
        <f>IF(K609&gt;0,K609*I609,"")</f>
      </c>
      <c r="M609" s="52"/>
      <c r="N609" t="str">
        <f>IF(K609&gt;0,COUNTIF($K$7:K609,"&gt;0"),"")</f>
      </c>
      <c r="O609" t="s">
        <v>1810</v>
      </c>
      <c r="P609" t="s">
        <v>1805</v>
      </c>
      <c r="Q609" t="s">
        <v>1805</v>
      </c>
    </row>
    <row r="610" spans="1:18" customHeight="1" ht="58">
      <c r="A610" s="16"/>
      <c r="B610" s="18" t="s">
        <v>1806</v>
      </c>
      <c r="C610" s="17" t="s">
        <v>1807</v>
      </c>
      <c r="D610" s="17" t="s">
        <v>1812</v>
      </c>
      <c r="E610" s="17" t="s">
        <v>1809</v>
      </c>
      <c r="F610" s="19"/>
      <c r="G610" s="20">
        <v>1.0</v>
      </c>
      <c r="H610" s="21"/>
      <c r="I610" s="21">
        <v>578.0</v>
      </c>
      <c r="J610" s="22">
        <v>4.0</v>
      </c>
      <c r="K610" s="50"/>
      <c r="L610" s="21" t="str">
        <f>IF(K610&gt;0,K610*I610,"")</f>
      </c>
      <c r="M610" s="52"/>
      <c r="N610" t="str">
        <f>IF(K610&gt;0,COUNTIF($K$7:K610,"&gt;0"),"")</f>
      </c>
      <c r="O610" t="s">
        <v>1813</v>
      </c>
      <c r="P610" t="s">
        <v>1811</v>
      </c>
      <c r="Q610" t="s">
        <v>1811</v>
      </c>
    </row>
    <row r="611" spans="1:18" customHeight="1" ht="58">
      <c r="A611" s="16"/>
      <c r="B611" s="18" t="s">
        <v>1806</v>
      </c>
      <c r="C611" s="17" t="s">
        <v>1807</v>
      </c>
      <c r="D611" s="17" t="s">
        <v>1815</v>
      </c>
      <c r="E611" s="17" t="s">
        <v>1809</v>
      </c>
      <c r="F611" s="19"/>
      <c r="G611" s="20">
        <v>1.0</v>
      </c>
      <c r="H611" s="21"/>
      <c r="I611" s="21">
        <v>578.0</v>
      </c>
      <c r="J611" s="22">
        <v>7.0</v>
      </c>
      <c r="K611" s="50"/>
      <c r="L611" s="21" t="str">
        <f>IF(K611&gt;0,K611*I611,"")</f>
      </c>
      <c r="M611" s="52"/>
      <c r="N611" t="str">
        <f>IF(K611&gt;0,COUNTIF($K$7:K611,"&gt;0"),"")</f>
      </c>
      <c r="O611" t="s">
        <v>1816</v>
      </c>
      <c r="P611" t="s">
        <v>1814</v>
      </c>
      <c r="Q611" t="s">
        <v>1814</v>
      </c>
    </row>
    <row r="612" spans="1:18" customHeight="1" ht="58">
      <c r="A612" s="16"/>
      <c r="B612" s="18" t="s">
        <v>1818</v>
      </c>
      <c r="C612" s="17" t="s">
        <v>1819</v>
      </c>
      <c r="D612" s="17" t="s">
        <v>1820</v>
      </c>
      <c r="E612" s="17" t="s">
        <v>1809</v>
      </c>
      <c r="F612" s="19"/>
      <c r="G612" s="20">
        <v>1.0</v>
      </c>
      <c r="H612" s="21"/>
      <c r="I612" s="21">
        <v>827.0</v>
      </c>
      <c r="J612" s="22">
        <v>7.0</v>
      </c>
      <c r="K612" s="50"/>
      <c r="L612" s="21" t="str">
        <f>IF(K612&gt;0,K612*I612,"")</f>
      </c>
      <c r="M612" s="52"/>
      <c r="N612" t="str">
        <f>IF(K612&gt;0,COUNTIF($K$7:K612,"&gt;0"),"")</f>
      </c>
      <c r="O612" t="s">
        <v>1821</v>
      </c>
      <c r="P612" t="s">
        <v>1817</v>
      </c>
      <c r="Q612" t="s">
        <v>1817</v>
      </c>
    </row>
    <row r="613" spans="1:18" customHeight="1" ht="58">
      <c r="A613" s="16"/>
      <c r="B613" s="18" t="s">
        <v>1818</v>
      </c>
      <c r="C613" s="17" t="s">
        <v>1819</v>
      </c>
      <c r="D613" s="17" t="s">
        <v>1823</v>
      </c>
      <c r="E613" s="17" t="s">
        <v>1809</v>
      </c>
      <c r="F613" s="19"/>
      <c r="G613" s="20">
        <v>1.0</v>
      </c>
      <c r="H613" s="21"/>
      <c r="I613" s="21">
        <v>827.0</v>
      </c>
      <c r="J613" s="22">
        <v>4.0</v>
      </c>
      <c r="K613" s="50"/>
      <c r="L613" s="21" t="str">
        <f>IF(K613&gt;0,K613*I613,"")</f>
      </c>
      <c r="M613" s="52"/>
      <c r="N613" t="str">
        <f>IF(K613&gt;0,COUNTIF($K$7:K613,"&gt;0"),"")</f>
      </c>
      <c r="O613" t="s">
        <v>1824</v>
      </c>
      <c r="P613" t="s">
        <v>1822</v>
      </c>
      <c r="Q613" t="s">
        <v>1822</v>
      </c>
    </row>
    <row r="614" spans="1:18" customHeight="1" ht="58">
      <c r="A614" s="16"/>
      <c r="B614" s="18" t="s">
        <v>1818</v>
      </c>
      <c r="C614" s="17" t="s">
        <v>1819</v>
      </c>
      <c r="D614" s="17" t="s">
        <v>1826</v>
      </c>
      <c r="E614" s="17" t="s">
        <v>1809</v>
      </c>
      <c r="F614" s="19"/>
      <c r="G614" s="20">
        <v>1.0</v>
      </c>
      <c r="H614" s="21"/>
      <c r="I614" s="21">
        <v>827.0</v>
      </c>
      <c r="J614" s="22">
        <v>7.0</v>
      </c>
      <c r="K614" s="50"/>
      <c r="L614" s="21" t="str">
        <f>IF(K614&gt;0,K614*I614,"")</f>
      </c>
      <c r="M614" s="52"/>
      <c r="N614" t="str">
        <f>IF(K614&gt;0,COUNTIF($K$7:K614,"&gt;0"),"")</f>
      </c>
      <c r="O614" t="s">
        <v>1827</v>
      </c>
      <c r="P614" t="s">
        <v>1825</v>
      </c>
      <c r="Q614" t="s">
        <v>1825</v>
      </c>
    </row>
    <row r="615" spans="1:18" customHeight="1" ht="58">
      <c r="A615" s="16"/>
      <c r="B615" s="18" t="s">
        <v>1829</v>
      </c>
      <c r="C615" s="17" t="s">
        <v>1830</v>
      </c>
      <c r="D615" s="17" t="s">
        <v>1831</v>
      </c>
      <c r="E615" s="17" t="s">
        <v>1832</v>
      </c>
      <c r="F615" s="19"/>
      <c r="G615" s="20">
        <v>1.0</v>
      </c>
      <c r="H615" s="21"/>
      <c r="I615" s="21">
        <v>1208.0</v>
      </c>
      <c r="J615" s="22">
        <v>8.0</v>
      </c>
      <c r="K615" s="50"/>
      <c r="L615" s="21" t="str">
        <f>IF(K615&gt;0,K615*I615,"")</f>
      </c>
      <c r="M615" s="52"/>
      <c r="N615" t="str">
        <f>IF(K615&gt;0,COUNTIF($K$7:K615,"&gt;0"),"")</f>
      </c>
      <c r="O615" t="s">
        <v>1833</v>
      </c>
      <c r="P615" t="s">
        <v>1828</v>
      </c>
      <c r="Q615" t="s">
        <v>1828</v>
      </c>
    </row>
    <row r="616" spans="1:18" customHeight="1" ht="58">
      <c r="A616" s="16"/>
      <c r="B616" s="18" t="s">
        <v>1829</v>
      </c>
      <c r="C616" s="17" t="s">
        <v>1830</v>
      </c>
      <c r="D616" s="17" t="s">
        <v>1835</v>
      </c>
      <c r="E616" s="17" t="s">
        <v>1832</v>
      </c>
      <c r="F616" s="19"/>
      <c r="G616" s="20">
        <v>1.0</v>
      </c>
      <c r="H616" s="21"/>
      <c r="I616" s="21">
        <v>1208.0</v>
      </c>
      <c r="J616" s="22">
        <v>8.0</v>
      </c>
      <c r="K616" s="50"/>
      <c r="L616" s="21" t="str">
        <f>IF(K616&gt;0,K616*I616,"")</f>
      </c>
      <c r="M616" s="52"/>
      <c r="N616" t="str">
        <f>IF(K616&gt;0,COUNTIF($K$7:K616,"&gt;0"),"")</f>
      </c>
      <c r="O616" t="s">
        <v>1836</v>
      </c>
      <c r="P616" t="s">
        <v>1834</v>
      </c>
      <c r="Q616" t="s">
        <v>1834</v>
      </c>
    </row>
    <row r="617" spans="1:18" customHeight="1" ht="58">
      <c r="A617" s="16"/>
      <c r="B617" s="18" t="s">
        <v>1829</v>
      </c>
      <c r="C617" s="17" t="s">
        <v>1830</v>
      </c>
      <c r="D617" s="17" t="s">
        <v>1838</v>
      </c>
      <c r="E617" s="17" t="s">
        <v>1832</v>
      </c>
      <c r="F617" s="19"/>
      <c r="G617" s="20">
        <v>1.0</v>
      </c>
      <c r="H617" s="21"/>
      <c r="I617" s="21">
        <v>1208.0</v>
      </c>
      <c r="J617" s="22">
        <v>7.0</v>
      </c>
      <c r="K617" s="50"/>
      <c r="L617" s="21" t="str">
        <f>IF(K617&gt;0,K617*I617,"")</f>
      </c>
      <c r="M617" s="52"/>
      <c r="N617" t="str">
        <f>IF(K617&gt;0,COUNTIF($K$7:K617,"&gt;0"),"")</f>
      </c>
      <c r="O617" t="s">
        <v>1839</v>
      </c>
      <c r="P617" t="s">
        <v>1837</v>
      </c>
      <c r="Q617" t="s">
        <v>1837</v>
      </c>
    </row>
    <row r="618" spans="1:18" customHeight="1" ht="58">
      <c r="A618" s="16"/>
      <c r="B618" s="18" t="s">
        <v>1841</v>
      </c>
      <c r="C618" s="17" t="s">
        <v>1842</v>
      </c>
      <c r="D618" s="17" t="s">
        <v>1843</v>
      </c>
      <c r="E618" s="17" t="s">
        <v>1844</v>
      </c>
      <c r="F618" s="19"/>
      <c r="G618" s="20">
        <v>1.0</v>
      </c>
      <c r="H618" s="21"/>
      <c r="I618" s="21">
        <v>1660.0</v>
      </c>
      <c r="J618" s="22">
        <v>9.0</v>
      </c>
      <c r="K618" s="50"/>
      <c r="L618" s="21" t="str">
        <f>IF(K618&gt;0,K618*I618,"")</f>
      </c>
      <c r="M618" s="52"/>
      <c r="N618" t="str">
        <f>IF(K618&gt;0,COUNTIF($K$7:K618,"&gt;0"),"")</f>
      </c>
      <c r="O618" t="s">
        <v>1845</v>
      </c>
      <c r="P618" t="s">
        <v>1840</v>
      </c>
      <c r="Q618" t="s">
        <v>1840</v>
      </c>
    </row>
    <row r="619" spans="1:18" customHeight="1" ht="58">
      <c r="A619" s="16"/>
      <c r="B619" s="18" t="s">
        <v>1841</v>
      </c>
      <c r="C619" s="17" t="s">
        <v>1842</v>
      </c>
      <c r="D619" s="17" t="s">
        <v>85</v>
      </c>
      <c r="E619" s="17" t="s">
        <v>1844</v>
      </c>
      <c r="F619" s="19"/>
      <c r="G619" s="20">
        <v>1.0</v>
      </c>
      <c r="H619" s="21"/>
      <c r="I619" s="21">
        <v>1660.0</v>
      </c>
      <c r="J619" s="22">
        <v>9.0</v>
      </c>
      <c r="K619" s="50"/>
      <c r="L619" s="21" t="str">
        <f>IF(K619&gt;0,K619*I619,"")</f>
      </c>
      <c r="M619" s="52"/>
      <c r="N619" t="str">
        <f>IF(K619&gt;0,COUNTIF($K$7:K619,"&gt;0"),"")</f>
      </c>
      <c r="O619" t="s">
        <v>1847</v>
      </c>
      <c r="P619" t="s">
        <v>1846</v>
      </c>
      <c r="Q619" t="s">
        <v>1846</v>
      </c>
    </row>
    <row r="620" spans="1:18" customHeight="1" ht="58">
      <c r="A620" s="16"/>
      <c r="B620" s="18" t="s">
        <v>1841</v>
      </c>
      <c r="C620" s="17" t="s">
        <v>1842</v>
      </c>
      <c r="D620" s="17" t="s">
        <v>1849</v>
      </c>
      <c r="E620" s="17" t="s">
        <v>1844</v>
      </c>
      <c r="F620" s="19"/>
      <c r="G620" s="20">
        <v>1.0</v>
      </c>
      <c r="H620" s="21"/>
      <c r="I620" s="21">
        <v>1660.0</v>
      </c>
      <c r="J620" s="22">
        <v>6.0</v>
      </c>
      <c r="K620" s="50"/>
      <c r="L620" s="21" t="str">
        <f>IF(K620&gt;0,K620*I620,"")</f>
      </c>
      <c r="M620" s="52"/>
      <c r="N620" t="str">
        <f>IF(K620&gt;0,COUNTIF($K$7:K620,"&gt;0"),"")</f>
      </c>
      <c r="O620" t="s">
        <v>1850</v>
      </c>
      <c r="P620" t="s">
        <v>1848</v>
      </c>
      <c r="Q620" t="s">
        <v>1848</v>
      </c>
    </row>
    <row r="621" spans="1:18" customHeight="1" ht="58">
      <c r="A621" s="16"/>
      <c r="B621" s="18" t="s">
        <v>1852</v>
      </c>
      <c r="C621" s="17" t="s">
        <v>1853</v>
      </c>
      <c r="D621" s="17" t="s">
        <v>53</v>
      </c>
      <c r="E621" s="17" t="s">
        <v>1854</v>
      </c>
      <c r="F621" s="19"/>
      <c r="G621" s="20">
        <v>1.0</v>
      </c>
      <c r="H621" s="21"/>
      <c r="I621" s="21">
        <v>249.0</v>
      </c>
      <c r="J621" s="22">
        <v>7.0</v>
      </c>
      <c r="K621" s="50"/>
      <c r="L621" s="21" t="str">
        <f>IF(K621&gt;0,K621*I621,"")</f>
      </c>
      <c r="M621" s="52"/>
      <c r="N621" t="str">
        <f>IF(K621&gt;0,COUNTIF($K$7:K621,"&gt;0"),"")</f>
      </c>
      <c r="P621" t="s">
        <v>1851</v>
      </c>
      <c r="Q621" t="s">
        <v>1851</v>
      </c>
    </row>
    <row r="622" spans="1:18" customHeight="1" ht="58">
      <c r="A622" s="16"/>
      <c r="B622" s="18" t="s">
        <v>1856</v>
      </c>
      <c r="C622" s="17" t="s">
        <v>1853</v>
      </c>
      <c r="D622" s="17" t="s">
        <v>53</v>
      </c>
      <c r="E622" s="17" t="s">
        <v>1857</v>
      </c>
      <c r="F622" s="19"/>
      <c r="G622" s="20">
        <v>1.0</v>
      </c>
      <c r="H622" s="21"/>
      <c r="I622" s="21">
        <v>301.0</v>
      </c>
      <c r="J622" s="22">
        <v>28.0</v>
      </c>
      <c r="K622" s="50"/>
      <c r="L622" s="21" t="str">
        <f>IF(K622&gt;0,K622*I622,"")</f>
      </c>
      <c r="M622" s="52"/>
      <c r="N622" t="str">
        <f>IF(K622&gt;0,COUNTIF($K$7:K622,"&gt;0"),"")</f>
      </c>
      <c r="O622" t="s">
        <v>1858</v>
      </c>
      <c r="P622" t="s">
        <v>1855</v>
      </c>
      <c r="Q622" t="s">
        <v>1855</v>
      </c>
    </row>
    <row r="623" spans="1:18" customHeight="1" ht="58">
      <c r="A623" s="16"/>
      <c r="B623" s="18" t="s">
        <v>1860</v>
      </c>
      <c r="C623" s="17" t="s">
        <v>1861</v>
      </c>
      <c r="D623" s="17" t="s">
        <v>1773</v>
      </c>
      <c r="E623" s="17" t="s">
        <v>1862</v>
      </c>
      <c r="F623" s="19"/>
      <c r="G623" s="20">
        <v>1.0</v>
      </c>
      <c r="H623" s="21"/>
      <c r="I623" s="21">
        <v>740.0</v>
      </c>
      <c r="J623" s="22">
        <v>1.0</v>
      </c>
      <c r="K623" s="50"/>
      <c r="L623" s="21" t="str">
        <f>IF(K623&gt;0,K623*I623,"")</f>
      </c>
      <c r="M623" s="52"/>
      <c r="N623" t="str">
        <f>IF(K623&gt;0,COUNTIF($K$7:K623,"&gt;0"),"")</f>
      </c>
      <c r="O623" t="s">
        <v>1863</v>
      </c>
      <c r="P623" t="s">
        <v>1859</v>
      </c>
      <c r="Q623" t="s">
        <v>1859</v>
      </c>
    </row>
    <row r="625" spans="1:18">
      <c r="I625" s="30" t="s">
        <v>1864</v>
      </c>
      <c r="J625" s="33"/>
      <c r="K625" s="36" t="str">
        <f>COUNTIF(K7:K623,"&gt;0")</f>
      </c>
    </row>
    <row r="626" spans="1:18">
      <c r="I626" s="31" t="s">
        <v>1865</v>
      </c>
      <c r="J626" s="34"/>
      <c r="K626" s="37" t="str">
        <f>SUM(K7:K623)</f>
      </c>
    </row>
    <row r="627" spans="1:18">
      <c r="I627" s="32" t="s">
        <v>1866</v>
      </c>
      <c r="J627" s="35"/>
      <c r="K627" s="38" t="str">
        <f>SUM(L7:L623)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625:J625"/>
    <mergeCell ref="I626:J626"/>
    <mergeCell ref="I627:J627"/>
    <mergeCell ref="G5:I5"/>
  </mergeCells>
  <conditionalFormatting sqref="A7:M62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623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62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isplay="Открыть карточку товара на сайте"/>
    <hyperlink ref="B179" r:id="rId_hyperlink_172" tooltip="Открыть карточку товара на сайте" display="Открыть карточку товара на сайте"/>
    <hyperlink ref="B180" r:id="rId_hyperlink_173" tooltip="Открыть карточку товара на сайте" display="Открыть карточку товара на сайте"/>
    <hyperlink ref="B181" r:id="rId_hyperlink_174" tooltip="Открыть карточку товара на сайте" display="Открыть карточку товара на сайте"/>
    <hyperlink ref="B182" r:id="rId_hyperlink_175" tooltip="Открыть карточку товара на сайте" display="Открыть карточку товара на сайте"/>
    <hyperlink ref="B183" r:id="rId_hyperlink_176" tooltip="Открыть карточку товара на сайте" display="Открыть карточку товара на сайте"/>
    <hyperlink ref="B184" r:id="rId_hyperlink_177" tooltip="Открыть карточку товара на сайте" display="Открыть карточку товара на сайте"/>
    <hyperlink ref="B185" r:id="rId_hyperlink_178" tooltip="Открыть карточку товара на сайте" display="Открыть карточку товара на сайте"/>
    <hyperlink ref="B186" r:id="rId_hyperlink_179" tooltip="Открыть карточку товара на сайте" display="Открыть карточку товара на сайте"/>
    <hyperlink ref="B187" r:id="rId_hyperlink_180" tooltip="Открыть карточку товара на сайте" display="Открыть карточку товара на сайте"/>
    <hyperlink ref="B188" r:id="rId_hyperlink_181" tooltip="Открыть карточку товара на сайте" display="Открыть карточку товара на сайте"/>
    <hyperlink ref="B189" r:id="rId_hyperlink_182" tooltip="Открыть карточку товара на сайте" display="Открыть карточку товара на сайте"/>
    <hyperlink ref="B190" r:id="rId_hyperlink_183" tooltip="Открыть карточку товара на сайте" display="Открыть карточку товара на сайте"/>
    <hyperlink ref="B191" r:id="rId_hyperlink_184" tooltip="Открыть карточку товара на сайте" display="Открыть карточку товара на сайте"/>
    <hyperlink ref="B192" r:id="rId_hyperlink_185" tooltip="Открыть карточку товара на сайте" display="Открыть карточку товара на сайте"/>
    <hyperlink ref="B193" r:id="rId_hyperlink_186" tooltip="Открыть карточку товара на сайте" display="Открыть карточку товара на сайте"/>
    <hyperlink ref="B194" r:id="rId_hyperlink_187" tooltip="Открыть карточку товара на сайте" display="Открыть карточку товара на сайте"/>
    <hyperlink ref="B195" r:id="rId_hyperlink_188" tooltip="Открыть карточку товара на сайте" display="Открыть карточку товара на сайте"/>
    <hyperlink ref="B196" r:id="rId_hyperlink_189" tooltip="Открыть карточку товара на сайте" display="Открыть карточку товара на сайте"/>
    <hyperlink ref="B197" r:id="rId_hyperlink_190" tooltip="Открыть карточку товара на сайте" display="Открыть карточку товара на сайте"/>
    <hyperlink ref="B198" r:id="rId_hyperlink_191" tooltip="Открыть карточку товара на сайте" display="Открыть карточку товара на сайте"/>
    <hyperlink ref="B199" r:id="rId_hyperlink_192" tooltip="Открыть карточку товара на сайте" display="Открыть карточку товара на сайте"/>
    <hyperlink ref="B200" r:id="rId_hyperlink_193" tooltip="Открыть карточку товара на сайте" display="Открыть карточку товара на сайте"/>
    <hyperlink ref="B201" r:id="rId_hyperlink_194" tooltip="Открыть карточку товара на сайте" display="Открыть карточку товара на сайте"/>
    <hyperlink ref="B202" r:id="rId_hyperlink_195" tooltip="Открыть карточку товара на сайте" display="Открыть карточку товара на сайте"/>
    <hyperlink ref="B203" r:id="rId_hyperlink_196" tooltip="Открыть карточку товара на сайте" display="Открыть карточку товара на сайте"/>
    <hyperlink ref="B204" r:id="rId_hyperlink_197" tooltip="Открыть карточку товара на сайте" display="Открыть карточку товара на сайте"/>
    <hyperlink ref="B205" r:id="rId_hyperlink_198" tooltip="Открыть карточку товара на сайте" display="Открыть карточку товара на сайте"/>
    <hyperlink ref="B206" r:id="rId_hyperlink_199" tooltip="Открыть карточку товара на сайте" display="Открыть карточку товара на сайте"/>
    <hyperlink ref="B207" r:id="rId_hyperlink_200" tooltip="Открыть карточку товара на сайте" display="Открыть карточку товара на сайте"/>
    <hyperlink ref="B208" r:id="rId_hyperlink_201" tooltip="Открыть карточку товара на сайте" display="Открыть карточку товара на сайте"/>
    <hyperlink ref="B209" r:id="rId_hyperlink_202" tooltip="Открыть карточку товара на сайте" display="Открыть карточку товара на сайте"/>
    <hyperlink ref="B210" r:id="rId_hyperlink_203" tooltip="Открыть карточку товара на сайте" display="Открыть карточку товара на сайте"/>
    <hyperlink ref="B211" r:id="rId_hyperlink_204" tooltip="Открыть карточку товара на сайте" display="Открыть карточку товара на сайте"/>
    <hyperlink ref="B212" r:id="rId_hyperlink_205" tooltip="Открыть карточку товара на сайте" display="Открыть карточку товара на сайте"/>
    <hyperlink ref="B213" r:id="rId_hyperlink_206" tooltip="Открыть карточку товара на сайте" display="Открыть карточку товара на сайте"/>
    <hyperlink ref="B214" r:id="rId_hyperlink_207" tooltip="Открыть карточку товара на сайте" display="Открыть карточку товара на сайте"/>
    <hyperlink ref="B215" r:id="rId_hyperlink_208" tooltip="Открыть карточку товара на сайте" display="Открыть карточку товара на сайте"/>
    <hyperlink ref="B216" r:id="rId_hyperlink_209" tooltip="Открыть карточку товара на сайте" display="Открыть карточку товара на сайте"/>
    <hyperlink ref="B217" r:id="rId_hyperlink_210" tooltip="Открыть карточку товара на сайте" display="Открыть карточку товара на сайте"/>
    <hyperlink ref="B218" r:id="rId_hyperlink_211" tooltip="Открыть карточку товара на сайте" display="Открыть карточку товара на сайте"/>
    <hyperlink ref="B219" r:id="rId_hyperlink_212" tooltip="Открыть карточку товара на сайте" display="Открыть карточку товара на сайте"/>
    <hyperlink ref="B220" r:id="rId_hyperlink_213" tooltip="Открыть карточку товара на сайте" display="Открыть карточку товара на сайте"/>
    <hyperlink ref="B221" r:id="rId_hyperlink_214" tooltip="Открыть карточку товара на сайте" display="Открыть карточку товара на сайте"/>
    <hyperlink ref="B222" r:id="rId_hyperlink_215" tooltip="Открыть карточку товара на сайте" display="Открыть карточку товара на сайте"/>
    <hyperlink ref="B223" r:id="rId_hyperlink_216" tooltip="Открыть карточку товара на сайте" display="Открыть карточку товара на сайте"/>
    <hyperlink ref="B224" r:id="rId_hyperlink_217" tooltip="Открыть карточку товара на сайте" display="Открыть карточку товара на сайте"/>
    <hyperlink ref="B225" r:id="rId_hyperlink_218" tooltip="Открыть карточку товара на сайте" display="Открыть карточку товара на сайте"/>
    <hyperlink ref="B226" r:id="rId_hyperlink_219" tooltip="Открыть карточку товара на сайте" display="Открыть карточку товара на сайте"/>
    <hyperlink ref="B227" r:id="rId_hyperlink_220" tooltip="Открыть карточку товара на сайте" display="Открыть карточку товара на сайте"/>
    <hyperlink ref="B228" r:id="rId_hyperlink_221" tooltip="Открыть карточку товара на сайте" display="Открыть карточку товара на сайте"/>
    <hyperlink ref="B229" r:id="rId_hyperlink_222" tooltip="Открыть карточку товара на сайте" display="Открыть карточку товара на сайте"/>
    <hyperlink ref="B230" r:id="rId_hyperlink_223" tooltip="Открыть карточку товара на сайте" display="Открыть карточку товара на сайте"/>
    <hyperlink ref="B231" r:id="rId_hyperlink_224" tooltip="Открыть карточку товара на сайте" display="Открыть карточку товара на сайте"/>
    <hyperlink ref="B232" r:id="rId_hyperlink_225" tooltip="Открыть карточку товара на сайте" display="Открыть карточку товара на сайте"/>
    <hyperlink ref="B233" r:id="rId_hyperlink_226" tooltip="Открыть карточку товара на сайте" display="Открыть карточку товара на сайте"/>
    <hyperlink ref="B234" r:id="rId_hyperlink_227" tooltip="Открыть карточку товара на сайте" display="Открыть карточку товара на сайте"/>
    <hyperlink ref="B235" r:id="rId_hyperlink_228" tooltip="Открыть карточку товара на сайте" display="Открыть карточку товара на сайте"/>
    <hyperlink ref="B236" r:id="rId_hyperlink_229" tooltip="Открыть карточку товара на сайте" display="Открыть карточку товара на сайте"/>
    <hyperlink ref="B237" r:id="rId_hyperlink_230" tooltip="Открыть карточку товара на сайте" display="Открыть карточку товара на сайте"/>
    <hyperlink ref="B238" r:id="rId_hyperlink_231" tooltip="Открыть карточку товара на сайте" display="Открыть карточку товара на сайте"/>
    <hyperlink ref="B239" r:id="rId_hyperlink_232" tooltip="Открыть карточку товара на сайте" display="Открыть карточку товара на сайте"/>
    <hyperlink ref="B240" r:id="rId_hyperlink_233" tooltip="Открыть карточку товара на сайте" display="Открыть карточку товара на сайте"/>
    <hyperlink ref="B241" r:id="rId_hyperlink_234" tooltip="Открыть карточку товара на сайте" display="Открыть карточку товара на сайте"/>
    <hyperlink ref="B242" r:id="rId_hyperlink_235" tooltip="Открыть карточку товара на сайте" display="Открыть карточку товара на сайте"/>
    <hyperlink ref="B243" r:id="rId_hyperlink_236" tooltip="Открыть карточку товара на сайте" display="Открыть карточку товара на сайте"/>
    <hyperlink ref="B244" r:id="rId_hyperlink_237" tooltip="Открыть карточку товара на сайте" display="Открыть карточку товара на сайте"/>
    <hyperlink ref="B245" r:id="rId_hyperlink_238" tooltip="Открыть карточку товара на сайте" display="Открыть карточку товара на сайте"/>
    <hyperlink ref="B246" r:id="rId_hyperlink_239" tooltip="Открыть карточку товара на сайте" display="Открыть карточку товара на сайте"/>
    <hyperlink ref="B247" r:id="rId_hyperlink_240" tooltip="Открыть карточку товара на сайте" display="Открыть карточку товара на сайте"/>
    <hyperlink ref="B248" r:id="rId_hyperlink_241" tooltip="Открыть карточку товара на сайте" display="Открыть карточку товара на сайте"/>
    <hyperlink ref="B249" r:id="rId_hyperlink_242" tooltip="Открыть карточку товара на сайте" display="Открыть карточку товара на сайте"/>
    <hyperlink ref="B250" r:id="rId_hyperlink_243" tooltip="Открыть карточку товара на сайте" display="Открыть карточку товара на сайте"/>
    <hyperlink ref="B251" r:id="rId_hyperlink_244" tooltip="Открыть карточку товара на сайте" display="Открыть карточку товара на сайте"/>
    <hyperlink ref="B252" r:id="rId_hyperlink_245" tooltip="Открыть карточку товара на сайте" display="Открыть карточку товара на сайте"/>
    <hyperlink ref="B253" r:id="rId_hyperlink_246" tooltip="Открыть карточку товара на сайте" display="Открыть карточку товара на сайте"/>
    <hyperlink ref="B254" r:id="rId_hyperlink_247" tooltip="Открыть карточку товара на сайте" display="Открыть карточку товара на сайте"/>
    <hyperlink ref="B255" r:id="rId_hyperlink_248" tooltip="Открыть карточку товара на сайте" display="Открыть карточку товара на сайте"/>
    <hyperlink ref="B256" r:id="rId_hyperlink_249" tooltip="Открыть карточку товара на сайте" display="Открыть карточку товара на сайте"/>
    <hyperlink ref="B257" r:id="rId_hyperlink_250" tooltip="Открыть карточку товара на сайте" display="Открыть карточку товара на сайте"/>
    <hyperlink ref="B258" r:id="rId_hyperlink_251" tooltip="Открыть карточку товара на сайте" display="Открыть карточку товара на сайте"/>
    <hyperlink ref="B259" r:id="rId_hyperlink_252" tooltip="Открыть карточку товара на сайте" display="Открыть карточку товара на сайте"/>
    <hyperlink ref="B260" r:id="rId_hyperlink_253" tooltip="Открыть карточку товара на сайте" display="Открыть карточку товара на сайте"/>
    <hyperlink ref="B261" r:id="rId_hyperlink_254" tooltip="Открыть карточку товара на сайте" display="Открыть карточку товара на сайте"/>
    <hyperlink ref="B262" r:id="rId_hyperlink_255" tooltip="Открыть карточку товара на сайте" display="Открыть карточку товара на сайте"/>
    <hyperlink ref="B263" r:id="rId_hyperlink_256" tooltip="Открыть карточку товара на сайте" display="Открыть карточку товара на сайте"/>
    <hyperlink ref="B264" r:id="rId_hyperlink_257" tooltip="Открыть карточку товара на сайте" display="Открыть карточку товара на сайте"/>
    <hyperlink ref="B265" r:id="rId_hyperlink_258" tooltip="Открыть карточку товара на сайте" display="Открыть карточку товара на сайте"/>
    <hyperlink ref="B266" r:id="rId_hyperlink_259" tooltip="Открыть карточку товара на сайте" display="Открыть карточку товара на сайте"/>
    <hyperlink ref="B267" r:id="rId_hyperlink_260" tooltip="Открыть карточку товара на сайте" display="Открыть карточку товара на сайте"/>
    <hyperlink ref="B268" r:id="rId_hyperlink_261" tooltip="Открыть карточку товара на сайте" display="Открыть карточку товара на сайте"/>
    <hyperlink ref="B269" r:id="rId_hyperlink_262" tooltip="Открыть карточку товара на сайте" display="Открыть карточку товара на сайте"/>
    <hyperlink ref="B270" r:id="rId_hyperlink_263" tooltip="Открыть карточку товара на сайте" display="Открыть карточку товара на сайте"/>
    <hyperlink ref="B271" r:id="rId_hyperlink_264" tooltip="Открыть карточку товара на сайте" display="Открыть карточку товара на сайте"/>
    <hyperlink ref="B272" r:id="rId_hyperlink_265" tooltip="Открыть карточку товара на сайте" display="Открыть карточку товара на сайте"/>
    <hyperlink ref="B273" r:id="rId_hyperlink_266" tooltip="Открыть карточку товара на сайте" display="Открыть карточку товара на сайте"/>
    <hyperlink ref="B274" r:id="rId_hyperlink_267" tooltip="Открыть карточку товара на сайте" display="Открыть карточку товара на сайте"/>
    <hyperlink ref="B275" r:id="rId_hyperlink_268" tooltip="Открыть карточку товара на сайте" display="Открыть карточку товара на сайте"/>
    <hyperlink ref="B276" r:id="rId_hyperlink_269" tooltip="Открыть карточку товара на сайте" display="Открыть карточку товара на сайте"/>
    <hyperlink ref="B277" r:id="rId_hyperlink_270" tooltip="Открыть карточку товара на сайте" display="Открыть карточку товара на сайте"/>
    <hyperlink ref="B278" r:id="rId_hyperlink_271" tooltip="Открыть карточку товара на сайте" display="Открыть карточку товара на сайте"/>
    <hyperlink ref="B279" r:id="rId_hyperlink_272" tooltip="Открыть карточку товара на сайте" display="Открыть карточку товара на сайте"/>
    <hyperlink ref="B280" r:id="rId_hyperlink_273" tooltip="Открыть карточку товара на сайте" display="Открыть карточку товара на сайте"/>
    <hyperlink ref="B281" r:id="rId_hyperlink_274" tooltip="Открыть карточку товара на сайте" display="Открыть карточку товара на сайте"/>
    <hyperlink ref="B282" r:id="rId_hyperlink_275" tooltip="Открыть карточку товара на сайте" display="Открыть карточку товара на сайте"/>
    <hyperlink ref="B283" r:id="rId_hyperlink_276" tooltip="Открыть карточку товара на сайте" display="Открыть карточку товара на сайте"/>
    <hyperlink ref="B284" r:id="rId_hyperlink_277" tooltip="Открыть карточку товара на сайте" display="Открыть карточку товара на сайте"/>
    <hyperlink ref="B285" r:id="rId_hyperlink_278" tooltip="Открыть карточку товара на сайте" display="Открыть карточку товара на сайте"/>
    <hyperlink ref="B286" r:id="rId_hyperlink_279" tooltip="Открыть карточку товара на сайте" display="Открыть карточку товара на сайте"/>
    <hyperlink ref="B287" r:id="rId_hyperlink_280" tooltip="Открыть карточку товара на сайте" display="Открыть карточку товара на сайте"/>
    <hyperlink ref="B288" r:id="rId_hyperlink_281" tooltip="Открыть карточку товара на сайте" display="Открыть карточку товара на сайте"/>
    <hyperlink ref="B289" r:id="rId_hyperlink_282" tooltip="Открыть карточку товара на сайте" display="Открыть карточку товара на сайте"/>
    <hyperlink ref="B290" r:id="rId_hyperlink_283" tooltip="Открыть карточку товара на сайте" display="Открыть карточку товара на сайте"/>
    <hyperlink ref="B291" r:id="rId_hyperlink_284" tooltip="Открыть карточку товара на сайте" display="Открыть карточку товара на сайте"/>
    <hyperlink ref="B292" r:id="rId_hyperlink_285" tooltip="Открыть карточку товара на сайте" display="Открыть карточку товара на сайте"/>
    <hyperlink ref="B293" r:id="rId_hyperlink_286" tooltip="Открыть карточку товара на сайте" display="Открыть карточку товара на сайте"/>
    <hyperlink ref="B294" r:id="rId_hyperlink_287" tooltip="Открыть карточку товара на сайте" display="Открыть карточку товара на сайте"/>
    <hyperlink ref="B295" r:id="rId_hyperlink_288" tooltip="Открыть карточку товара на сайте" display="Открыть карточку товара на сайте"/>
    <hyperlink ref="B296" r:id="rId_hyperlink_289" tooltip="Открыть карточку товара на сайте" display="Открыть карточку товара на сайте"/>
    <hyperlink ref="B297" r:id="rId_hyperlink_290" tooltip="Открыть карточку товара на сайте" display="Открыть карточку товара на сайте"/>
    <hyperlink ref="B298" r:id="rId_hyperlink_291" tooltip="Открыть карточку товара на сайте" display="Открыть карточку товара на сайте"/>
    <hyperlink ref="B299" r:id="rId_hyperlink_292" tooltip="Открыть карточку товара на сайте" display="Открыть карточку товара на сайте"/>
    <hyperlink ref="B300" r:id="rId_hyperlink_293" tooltip="Открыть карточку товара на сайте" display="Открыть карточку товара на сайте"/>
    <hyperlink ref="B301" r:id="rId_hyperlink_294" tooltip="Открыть карточку товара на сайте" display="Открыть карточку товара на сайте"/>
    <hyperlink ref="B302" r:id="rId_hyperlink_295" tooltip="Открыть карточку товара на сайте" display="Открыть карточку товара на сайте"/>
    <hyperlink ref="B303" r:id="rId_hyperlink_296" tooltip="Открыть карточку товара на сайте" display="Открыть карточку товара на сайте"/>
    <hyperlink ref="B304" r:id="rId_hyperlink_297" tooltip="Открыть карточку товара на сайте" display="Открыть карточку товара на сайте"/>
    <hyperlink ref="B305" r:id="rId_hyperlink_298" tooltip="Открыть карточку товара на сайте" display="Открыть карточку товара на сайте"/>
    <hyperlink ref="B306" r:id="rId_hyperlink_299" tooltip="Открыть карточку товара на сайте" display="Открыть карточку товара на сайте"/>
    <hyperlink ref="B307" r:id="rId_hyperlink_300" tooltip="Открыть карточку товара на сайте" display="Открыть карточку товара на сайте"/>
    <hyperlink ref="B308" r:id="rId_hyperlink_301" tooltip="Открыть карточку товара на сайте" display="Открыть карточку товара на сайте"/>
    <hyperlink ref="B309" r:id="rId_hyperlink_302" tooltip="Открыть карточку товара на сайте" display="Открыть карточку товара на сайте"/>
    <hyperlink ref="B310" r:id="rId_hyperlink_303" tooltip="Открыть карточку товара на сайте" display="Открыть карточку товара на сайте"/>
    <hyperlink ref="B311" r:id="rId_hyperlink_304" tooltip="Открыть карточку товара на сайте" display="Открыть карточку товара на сайте"/>
    <hyperlink ref="B312" r:id="rId_hyperlink_305" tooltip="Открыть карточку товара на сайте" display="Открыть карточку товара на сайте"/>
    <hyperlink ref="B313" r:id="rId_hyperlink_306" tooltip="Открыть карточку товара на сайте" display="Открыть карточку товара на сайте"/>
    <hyperlink ref="B314" r:id="rId_hyperlink_307" tooltip="Открыть карточку товара на сайте" display="Открыть карточку товара на сайте"/>
    <hyperlink ref="B315" r:id="rId_hyperlink_308" tooltip="Открыть карточку товара на сайте" display="Открыть карточку товара на сайте"/>
    <hyperlink ref="B316" r:id="rId_hyperlink_309" tooltip="Открыть карточку товара на сайте" display="Открыть карточку товара на сайте"/>
    <hyperlink ref="B317" r:id="rId_hyperlink_310" tooltip="Открыть карточку товара на сайте" display="Открыть карточку товара на сайте"/>
    <hyperlink ref="B318" r:id="rId_hyperlink_311" tooltip="Открыть карточку товара на сайте" display="Открыть карточку товара на сайте"/>
    <hyperlink ref="B319" r:id="rId_hyperlink_312" tooltip="Открыть карточку товара на сайте" display="Открыть карточку товара на сайте"/>
    <hyperlink ref="B320" r:id="rId_hyperlink_313" tooltip="Открыть карточку товара на сайте" display="Открыть карточку товара на сайте"/>
    <hyperlink ref="B321" r:id="rId_hyperlink_314" tooltip="Открыть карточку товара на сайте" display="Открыть карточку товара на сайте"/>
    <hyperlink ref="B322" r:id="rId_hyperlink_315" tooltip="Открыть карточку товара на сайте" display="Открыть карточку товара на сайте"/>
    <hyperlink ref="B323" r:id="rId_hyperlink_316" tooltip="Открыть карточку товара на сайте" display="Открыть карточку товара на сайте"/>
    <hyperlink ref="B324" r:id="rId_hyperlink_317" tooltip="Открыть карточку товара на сайте" display="Открыть карточку товара на сайте"/>
    <hyperlink ref="B325" r:id="rId_hyperlink_318" tooltip="Открыть карточку товара на сайте" display="Открыть карточку товара на сайте"/>
    <hyperlink ref="B326" r:id="rId_hyperlink_319" tooltip="Открыть карточку товара на сайте" display="Открыть карточку товара на сайте"/>
    <hyperlink ref="B327" r:id="rId_hyperlink_320" tooltip="Открыть карточку товара на сайте" display="Открыть карточку товара на сайте"/>
    <hyperlink ref="B328" r:id="rId_hyperlink_321" tooltip="Открыть карточку товара на сайте" display="Открыть карточку товара на сайте"/>
    <hyperlink ref="B329" r:id="rId_hyperlink_322" tooltip="Открыть карточку товара на сайте" display="Открыть карточку товара на сайте"/>
    <hyperlink ref="B330" r:id="rId_hyperlink_323" tooltip="Открыть карточку товара на сайте" display="Открыть карточку товара на сайте"/>
    <hyperlink ref="B331" r:id="rId_hyperlink_324" tooltip="Открыть карточку товара на сайте" display="Открыть карточку товара на сайте"/>
    <hyperlink ref="B332" r:id="rId_hyperlink_325" tooltip="Открыть карточку товара на сайте" display="Открыть карточку товара на сайте"/>
    <hyperlink ref="B333" r:id="rId_hyperlink_326" tooltip="Открыть карточку товара на сайте" display="Открыть карточку товара на сайте"/>
    <hyperlink ref="B334" r:id="rId_hyperlink_327" tooltip="Открыть карточку товара на сайте" display="Открыть карточку товара на сайте"/>
    <hyperlink ref="B335" r:id="rId_hyperlink_328" tooltip="Открыть карточку товара на сайте" display="Открыть карточку товара на сайте"/>
    <hyperlink ref="B336" r:id="rId_hyperlink_329" tooltip="Открыть карточку товара на сайте" display="Открыть карточку товара на сайте"/>
    <hyperlink ref="B337" r:id="rId_hyperlink_330" tooltip="Открыть карточку товара на сайте" display="Открыть карточку товара на сайте"/>
    <hyperlink ref="B338" r:id="rId_hyperlink_331" tooltip="Открыть карточку товара на сайте" display="Открыть карточку товара на сайте"/>
    <hyperlink ref="B339" r:id="rId_hyperlink_332" tooltip="Открыть карточку товара на сайте" display="Открыть карточку товара на сайте"/>
    <hyperlink ref="B340" r:id="rId_hyperlink_333" tooltip="Открыть карточку товара на сайте" display="Открыть карточку товара на сайте"/>
    <hyperlink ref="B341" r:id="rId_hyperlink_334" tooltip="Открыть карточку товара на сайте" display="Открыть карточку товара на сайте"/>
    <hyperlink ref="B342" r:id="rId_hyperlink_335" tooltip="Открыть карточку товара на сайте" display="Открыть карточку товара на сайте"/>
    <hyperlink ref="B343" r:id="rId_hyperlink_336" tooltip="Открыть карточку товара на сайте" display="Открыть карточку товара на сайте"/>
    <hyperlink ref="B344" r:id="rId_hyperlink_337" tooltip="Открыть карточку товара на сайте" display="Открыть карточку товара на сайте"/>
    <hyperlink ref="B345" r:id="rId_hyperlink_338" tooltip="Открыть карточку товара на сайте" display="Открыть карточку товара на сайте"/>
    <hyperlink ref="B346" r:id="rId_hyperlink_339" tooltip="Открыть карточку товара на сайте" display="Открыть карточку товара на сайте"/>
    <hyperlink ref="B347" r:id="rId_hyperlink_340" tooltip="Открыть карточку товара на сайте" display="Открыть карточку товара на сайте"/>
    <hyperlink ref="B348" r:id="rId_hyperlink_341" tooltip="Открыть карточку товара на сайте" display="Открыть карточку товара на сайте"/>
    <hyperlink ref="B349" r:id="rId_hyperlink_342" tooltip="Открыть карточку товара на сайте" display="Открыть карточку товара на сайте"/>
    <hyperlink ref="B350" r:id="rId_hyperlink_343" tooltip="Открыть карточку товара на сайте" display="Открыть карточку товара на сайте"/>
    <hyperlink ref="B351" r:id="rId_hyperlink_344" tooltip="Открыть карточку товара на сайте" display="Открыть карточку товара на сайте"/>
    <hyperlink ref="B352" r:id="rId_hyperlink_345" tooltip="Открыть карточку товара на сайте" display="Открыть карточку товара на сайте"/>
    <hyperlink ref="B353" r:id="rId_hyperlink_346" tooltip="Открыть карточку товара на сайте" display="Открыть карточку товара на сайте"/>
    <hyperlink ref="B354" r:id="rId_hyperlink_347" tooltip="Открыть карточку товара на сайте" display="Открыть карточку товара на сайте"/>
    <hyperlink ref="B355" r:id="rId_hyperlink_348" tooltip="Открыть карточку товара на сайте" display="Открыть карточку товара на сайте"/>
    <hyperlink ref="B356" r:id="rId_hyperlink_349" tooltip="Открыть карточку товара на сайте" display="Открыть карточку товара на сайте"/>
    <hyperlink ref="B357" r:id="rId_hyperlink_350" tooltip="Открыть карточку товара на сайте" display="Открыть карточку товара на сайте"/>
    <hyperlink ref="B358" r:id="rId_hyperlink_351" tooltip="Открыть карточку товара на сайте" display="Открыть карточку товара на сайте"/>
    <hyperlink ref="B359" r:id="rId_hyperlink_352" tooltip="Открыть карточку товара на сайте" display="Открыть карточку товара на сайте"/>
    <hyperlink ref="B360" r:id="rId_hyperlink_353" tooltip="Открыть карточку товара на сайте" display="Открыть карточку товара на сайте"/>
    <hyperlink ref="B361" r:id="rId_hyperlink_354" tooltip="Открыть карточку товара на сайте" display="Открыть карточку товара на сайте"/>
    <hyperlink ref="B362" r:id="rId_hyperlink_355" tooltip="Открыть карточку товара на сайте" display="Открыть карточку товара на сайте"/>
    <hyperlink ref="B363" r:id="rId_hyperlink_356" tooltip="Открыть карточку товара на сайте" display="Открыть карточку товара на сайте"/>
    <hyperlink ref="B364" r:id="rId_hyperlink_357" tooltip="Открыть карточку товара на сайте" display="Открыть карточку товара на сайте"/>
    <hyperlink ref="B365" r:id="rId_hyperlink_358" tooltip="Открыть карточку товара на сайте" display="Открыть карточку товара на сайте"/>
    <hyperlink ref="B366" r:id="rId_hyperlink_359" tooltip="Открыть карточку товара на сайте" display="Открыть карточку товара на сайте"/>
    <hyperlink ref="B367" r:id="rId_hyperlink_360" tooltip="Открыть карточку товара на сайте" display="Открыть карточку товара на сайте"/>
    <hyperlink ref="B368" r:id="rId_hyperlink_361" tooltip="Открыть карточку товара на сайте" display="Открыть карточку товара на сайте"/>
    <hyperlink ref="B369" r:id="rId_hyperlink_362" tooltip="Открыть карточку товара на сайте" display="Открыть карточку товара на сайте"/>
    <hyperlink ref="B370" r:id="rId_hyperlink_363" tooltip="Открыть карточку товара на сайте" display="Открыть карточку товара на сайте"/>
    <hyperlink ref="B371" r:id="rId_hyperlink_364" tooltip="Открыть карточку товара на сайте" display="Открыть карточку товара на сайте"/>
    <hyperlink ref="B372" r:id="rId_hyperlink_365" tooltip="Открыть карточку товара на сайте" display="Открыть карточку товара на сайте"/>
    <hyperlink ref="B373" r:id="rId_hyperlink_366" tooltip="Открыть карточку товара на сайте" display="Открыть карточку товара на сайте"/>
    <hyperlink ref="B374" r:id="rId_hyperlink_367" tooltip="Открыть карточку товара на сайте" display="Открыть карточку товара на сайте"/>
    <hyperlink ref="B375" r:id="rId_hyperlink_368" tooltip="Открыть карточку товара на сайте" display="Открыть карточку товара на сайте"/>
    <hyperlink ref="B376" r:id="rId_hyperlink_369" tooltip="Открыть карточку товара на сайте" display="Открыть карточку товара на сайте"/>
    <hyperlink ref="B377" r:id="rId_hyperlink_370" tooltip="Открыть карточку товара на сайте" display="Открыть карточку товара на сайте"/>
    <hyperlink ref="B378" r:id="rId_hyperlink_371" tooltip="Открыть карточку товара на сайте" display="Открыть карточку товара на сайте"/>
    <hyperlink ref="B379" r:id="rId_hyperlink_372" tooltip="Открыть карточку товара на сайте" display="Открыть карточку товара на сайте"/>
    <hyperlink ref="B380" r:id="rId_hyperlink_373" tooltip="Открыть карточку товара на сайте" display="Открыть карточку товара на сайте"/>
    <hyperlink ref="B381" r:id="rId_hyperlink_374" tooltip="Открыть карточку товара на сайте" display="Открыть карточку товара на сайте"/>
    <hyperlink ref="B382" r:id="rId_hyperlink_375" tooltip="Открыть карточку товара на сайте" display="Открыть карточку товара на сайте"/>
    <hyperlink ref="B383" r:id="rId_hyperlink_376" tooltip="Открыть карточку товара на сайте" display="Открыть карточку товара на сайте"/>
    <hyperlink ref="B384" r:id="rId_hyperlink_377" tooltip="Открыть карточку товара на сайте" display="Открыть карточку товара на сайте"/>
    <hyperlink ref="B385" r:id="rId_hyperlink_378" tooltip="Открыть карточку товара на сайте" display="Открыть карточку товара на сайте"/>
    <hyperlink ref="B386" r:id="rId_hyperlink_379" tooltip="Открыть карточку товара на сайте" display="Открыть карточку товара на сайте"/>
    <hyperlink ref="B387" r:id="rId_hyperlink_380" tooltip="Открыть карточку товара на сайте" display="Открыть карточку товара на сайте"/>
    <hyperlink ref="B388" r:id="rId_hyperlink_381" tooltip="Открыть карточку товара на сайте" display="Открыть карточку товара на сайте"/>
    <hyperlink ref="B389" r:id="rId_hyperlink_382" tooltip="Открыть карточку товара на сайте" display="Открыть карточку товара на сайте"/>
    <hyperlink ref="B390" r:id="rId_hyperlink_383" tooltip="Открыть карточку товара на сайте" display="Открыть карточку товара на сайте"/>
    <hyperlink ref="B391" r:id="rId_hyperlink_384" tooltip="Открыть карточку товара на сайте" display="Открыть карточку товара на сайте"/>
    <hyperlink ref="B392" r:id="rId_hyperlink_385" tooltip="Открыть карточку товара на сайте" display="Открыть карточку товара на сайте"/>
    <hyperlink ref="B393" r:id="rId_hyperlink_386" tooltip="Открыть карточку товара на сайте" display="Открыть карточку товара на сайте"/>
    <hyperlink ref="B394" r:id="rId_hyperlink_387" tooltip="Открыть карточку товара на сайте" display="Открыть карточку товара на сайте"/>
    <hyperlink ref="B395" r:id="rId_hyperlink_388" tooltip="Открыть карточку товара на сайте" display="Открыть карточку товара на сайте"/>
    <hyperlink ref="B396" r:id="rId_hyperlink_389" tooltip="Открыть карточку товара на сайте" display="Открыть карточку товара на сайте"/>
    <hyperlink ref="B397" r:id="rId_hyperlink_390" tooltip="Открыть карточку товара на сайте" display="Открыть карточку товара на сайте"/>
    <hyperlink ref="B398" r:id="rId_hyperlink_391" tooltip="Открыть карточку товара на сайте" display="Открыть карточку товара на сайте"/>
    <hyperlink ref="B399" r:id="rId_hyperlink_392" tooltip="Открыть карточку товара на сайте" display="Открыть карточку товара на сайте"/>
    <hyperlink ref="B400" r:id="rId_hyperlink_393" tooltip="Открыть карточку товара на сайте" display="Открыть карточку товара на сайте"/>
    <hyperlink ref="B401" r:id="rId_hyperlink_394" tooltip="Открыть карточку товара на сайте" display="Открыть карточку товара на сайте"/>
    <hyperlink ref="B402" r:id="rId_hyperlink_395" tooltip="Открыть карточку товара на сайте" display="Открыть карточку товара на сайте"/>
    <hyperlink ref="B403" r:id="rId_hyperlink_396" tooltip="Открыть карточку товара на сайте" display="Открыть карточку товара на сайте"/>
    <hyperlink ref="B404" r:id="rId_hyperlink_397" tooltip="Открыть карточку товара на сайте" display="Открыть карточку товара на сайте"/>
    <hyperlink ref="B405" r:id="rId_hyperlink_398" tooltip="Открыть карточку товара на сайте" display="Открыть карточку товара на сайте"/>
    <hyperlink ref="B406" r:id="rId_hyperlink_399" tooltip="Открыть карточку товара на сайте" display="Открыть карточку товара на сайте"/>
    <hyperlink ref="B407" r:id="rId_hyperlink_400" tooltip="Открыть карточку товара на сайте" display="Открыть карточку товара на сайте"/>
    <hyperlink ref="B408" r:id="rId_hyperlink_401" tooltip="Открыть карточку товара на сайте" display="Открыть карточку товара на сайте"/>
    <hyperlink ref="B409" r:id="rId_hyperlink_402" tooltip="Открыть карточку товара на сайте" display="Открыть карточку товара на сайте"/>
    <hyperlink ref="B410" r:id="rId_hyperlink_403" tooltip="Открыть карточку товара на сайте" display="Открыть карточку товара на сайте"/>
    <hyperlink ref="B411" r:id="rId_hyperlink_404" tooltip="Открыть карточку товара на сайте" display="Открыть карточку товара на сайте"/>
    <hyperlink ref="B412" r:id="rId_hyperlink_405" tooltip="Открыть карточку товара на сайте" display="Открыть карточку товара на сайте"/>
    <hyperlink ref="B413" r:id="rId_hyperlink_406" tooltip="Открыть карточку товара на сайте" display="Открыть карточку товара на сайте"/>
    <hyperlink ref="B414" r:id="rId_hyperlink_407" tooltip="Открыть карточку товара на сайте" display="Открыть карточку товара на сайте"/>
    <hyperlink ref="B415" r:id="rId_hyperlink_408" tooltip="Открыть карточку товара на сайте" display="Открыть карточку товара на сайте"/>
    <hyperlink ref="B416" r:id="rId_hyperlink_409" tooltip="Открыть карточку товара на сайте" display="Открыть карточку товара на сайте"/>
    <hyperlink ref="B417" r:id="rId_hyperlink_410" tooltip="Открыть карточку товара на сайте" display="Открыть карточку товара на сайте"/>
    <hyperlink ref="B418" r:id="rId_hyperlink_411" tooltip="Открыть карточку товара на сайте" display="Открыть карточку товара на сайте"/>
    <hyperlink ref="B419" r:id="rId_hyperlink_412" tooltip="Открыть карточку товара на сайте" display="Открыть карточку товара на сайте"/>
    <hyperlink ref="B420" r:id="rId_hyperlink_413" tooltip="Открыть карточку товара на сайте" display="Открыть карточку товара на сайте"/>
    <hyperlink ref="B421" r:id="rId_hyperlink_414" tooltip="Открыть карточку товара на сайте" display="Открыть карточку товара на сайте"/>
    <hyperlink ref="B422" r:id="rId_hyperlink_415" tooltip="Открыть карточку товара на сайте" display="Открыть карточку товара на сайте"/>
    <hyperlink ref="B423" r:id="rId_hyperlink_416" tooltip="Открыть карточку товара на сайте" display="Открыть карточку товара на сайте"/>
    <hyperlink ref="B424" r:id="rId_hyperlink_417" tooltip="Открыть карточку товара на сайте" display="Открыть карточку товара на сайте"/>
    <hyperlink ref="B425" r:id="rId_hyperlink_418" tooltip="Открыть карточку товара на сайте" display="Открыть карточку товара на сайте"/>
    <hyperlink ref="B426" r:id="rId_hyperlink_419" tooltip="Открыть карточку товара на сайте" display="Открыть карточку товара на сайте"/>
    <hyperlink ref="B427" r:id="rId_hyperlink_420" tooltip="Открыть карточку товара на сайте" display="Открыть карточку товара на сайте"/>
    <hyperlink ref="B428" r:id="rId_hyperlink_421" tooltip="Открыть карточку товара на сайте" display="Открыть карточку товара на сайте"/>
    <hyperlink ref="B429" r:id="rId_hyperlink_422" tooltip="Открыть карточку товара на сайте" display="Открыть карточку товара на сайте"/>
    <hyperlink ref="B430" r:id="rId_hyperlink_423" tooltip="Открыть карточку товара на сайте" display="Открыть карточку товара на сайте"/>
    <hyperlink ref="B431" r:id="rId_hyperlink_424" tooltip="Открыть карточку товара на сайте" display="Открыть карточку товара на сайте"/>
    <hyperlink ref="B432" r:id="rId_hyperlink_425" tooltip="Открыть карточку товара на сайте" display="Открыть карточку товара на сайте"/>
    <hyperlink ref="B433" r:id="rId_hyperlink_426" tooltip="Открыть карточку товара на сайте" display="Открыть карточку товара на сайте"/>
    <hyperlink ref="B434" r:id="rId_hyperlink_427" tooltip="Открыть карточку товара на сайте" display="Открыть карточку товара на сайте"/>
    <hyperlink ref="B435" r:id="rId_hyperlink_428" tooltip="Открыть карточку товара на сайте" display="Открыть карточку товара на сайте"/>
    <hyperlink ref="B436" r:id="rId_hyperlink_429" tooltip="Открыть карточку товара на сайте" display="Открыть карточку товара на сайте"/>
    <hyperlink ref="B437" r:id="rId_hyperlink_430" tooltip="Открыть карточку товара на сайте" display="Открыть карточку товара на сайте"/>
    <hyperlink ref="B438" r:id="rId_hyperlink_431" tooltip="Открыть карточку товара на сайте" display="Открыть карточку товара на сайте"/>
    <hyperlink ref="B439" r:id="rId_hyperlink_432" tooltip="Открыть карточку товара на сайте" display="Открыть карточку товара на сайте"/>
    <hyperlink ref="B440" r:id="rId_hyperlink_433" tooltip="Открыть карточку товара на сайте" display="Открыть карточку товара на сайте"/>
    <hyperlink ref="B441" r:id="rId_hyperlink_434" tooltip="Открыть карточку товара на сайте" display="Открыть карточку товара на сайте"/>
    <hyperlink ref="B442" r:id="rId_hyperlink_435" tooltip="Открыть карточку товара на сайте" display="Открыть карточку товара на сайте"/>
    <hyperlink ref="B443" r:id="rId_hyperlink_436" tooltip="Открыть карточку товара на сайте" display="Открыть карточку товара на сайте"/>
    <hyperlink ref="B444" r:id="rId_hyperlink_437" tooltip="Открыть карточку товара на сайте" display="Открыть карточку товара на сайте"/>
    <hyperlink ref="B445" r:id="rId_hyperlink_438" tooltip="Открыть карточку товара на сайте" display="Открыть карточку товара на сайте"/>
    <hyperlink ref="B446" r:id="rId_hyperlink_439" tooltip="Открыть карточку товара на сайте" display="Открыть карточку товара на сайте"/>
    <hyperlink ref="B447" r:id="rId_hyperlink_440" tooltip="Открыть карточку товара на сайте" display="Открыть карточку товара на сайте"/>
    <hyperlink ref="B448" r:id="rId_hyperlink_441" tooltip="Открыть карточку товара на сайте" display="Открыть карточку товара на сайте"/>
    <hyperlink ref="B449" r:id="rId_hyperlink_442" tooltip="Открыть карточку товара на сайте" display="Открыть карточку товара на сайте"/>
    <hyperlink ref="B450" r:id="rId_hyperlink_443" tooltip="Открыть карточку товара на сайте" display="Открыть карточку товара на сайте"/>
    <hyperlink ref="B451" r:id="rId_hyperlink_444" tooltip="Открыть карточку товара на сайте" display="Открыть карточку товара на сайте"/>
    <hyperlink ref="B452" r:id="rId_hyperlink_445" tooltip="Открыть карточку товара на сайте" display="Открыть карточку товара на сайте"/>
    <hyperlink ref="B453" r:id="rId_hyperlink_446" tooltip="Открыть карточку товара на сайте" display="Открыть карточку товара на сайте"/>
    <hyperlink ref="B454" r:id="rId_hyperlink_447" tooltip="Открыть карточку товара на сайте" display="Открыть карточку товара на сайте"/>
    <hyperlink ref="B455" r:id="rId_hyperlink_448" tooltip="Открыть карточку товара на сайте" display="Открыть карточку товара на сайте"/>
    <hyperlink ref="B456" r:id="rId_hyperlink_449" tooltip="Открыть карточку товара на сайте" display="Открыть карточку товара на сайте"/>
    <hyperlink ref="B457" r:id="rId_hyperlink_450" tooltip="Открыть карточку товара на сайте" display="Открыть карточку товара на сайте"/>
    <hyperlink ref="B458" r:id="rId_hyperlink_451" tooltip="Открыть карточку товара на сайте" display="Открыть карточку товара на сайте"/>
    <hyperlink ref="B459" r:id="rId_hyperlink_452" tooltip="Открыть карточку товара на сайте" display="Открыть карточку товара на сайте"/>
    <hyperlink ref="B460" r:id="rId_hyperlink_453" tooltip="Открыть карточку товара на сайте" display="Открыть карточку товара на сайте"/>
    <hyperlink ref="B461" r:id="rId_hyperlink_454" tooltip="Открыть карточку товара на сайте" display="Открыть карточку товара на сайте"/>
    <hyperlink ref="B462" r:id="rId_hyperlink_455" tooltip="Открыть карточку товара на сайте" display="Открыть карточку товара на сайте"/>
    <hyperlink ref="B463" r:id="rId_hyperlink_456" tooltip="Открыть карточку товара на сайте" display="Открыть карточку товара на сайте"/>
    <hyperlink ref="B464" r:id="rId_hyperlink_457" tooltip="Открыть карточку товара на сайте" display="Открыть карточку товара на сайте"/>
    <hyperlink ref="B465" r:id="rId_hyperlink_458" tooltip="Открыть карточку товара на сайте" display="Открыть карточку товара на сайте"/>
    <hyperlink ref="B466" r:id="rId_hyperlink_459" tooltip="Открыть карточку товара на сайте" display="Открыть карточку товара на сайте"/>
    <hyperlink ref="B467" r:id="rId_hyperlink_460" tooltip="Открыть карточку товара на сайте" display="Открыть карточку товара на сайте"/>
    <hyperlink ref="B468" r:id="rId_hyperlink_461" tooltip="Открыть карточку товара на сайте" display="Открыть карточку товара на сайте"/>
    <hyperlink ref="B469" r:id="rId_hyperlink_462" tooltip="Открыть карточку товара на сайте" display="Открыть карточку товара на сайте"/>
    <hyperlink ref="B470" r:id="rId_hyperlink_463" tooltip="Открыть карточку товара на сайте" display="Открыть карточку товара на сайте"/>
    <hyperlink ref="B471" r:id="rId_hyperlink_464" tooltip="Открыть карточку товара на сайте" display="Открыть карточку товара на сайте"/>
    <hyperlink ref="B472" r:id="rId_hyperlink_465" tooltip="Открыть карточку товара на сайте" display="Открыть карточку товара на сайте"/>
    <hyperlink ref="B473" r:id="rId_hyperlink_466" tooltip="Открыть карточку товара на сайте" display="Открыть карточку товара на сайте"/>
    <hyperlink ref="B474" r:id="rId_hyperlink_467" tooltip="Открыть карточку товара на сайте" display="Открыть карточку товара на сайте"/>
    <hyperlink ref="B475" r:id="rId_hyperlink_468" tooltip="Открыть карточку товара на сайте" display="Открыть карточку товара на сайте"/>
    <hyperlink ref="B476" r:id="rId_hyperlink_469" tooltip="Открыть карточку товара на сайте" display="Открыть карточку товара на сайте"/>
    <hyperlink ref="B477" r:id="rId_hyperlink_470" tooltip="Открыть карточку товара на сайте" display="Открыть карточку товара на сайте"/>
    <hyperlink ref="B478" r:id="rId_hyperlink_471" tooltip="Открыть карточку товара на сайте" display="Открыть карточку товара на сайте"/>
    <hyperlink ref="B479" r:id="rId_hyperlink_472" tooltip="Открыть карточку товара на сайте" display="Открыть карточку товара на сайте"/>
    <hyperlink ref="B480" r:id="rId_hyperlink_473" tooltip="Открыть карточку товара на сайте" display="Открыть карточку товара на сайте"/>
    <hyperlink ref="B481" r:id="rId_hyperlink_474" tooltip="Открыть карточку товара на сайте" display="Открыть карточку товара на сайте"/>
    <hyperlink ref="B482" r:id="rId_hyperlink_475" tooltip="Открыть карточку товара на сайте" display="Открыть карточку товара на сайте"/>
    <hyperlink ref="B483" r:id="rId_hyperlink_476" tooltip="Открыть карточку товара на сайте" display="Открыть карточку товара на сайте"/>
    <hyperlink ref="B484" r:id="rId_hyperlink_477" tooltip="Открыть карточку товара на сайте" display="Открыть карточку товара на сайте"/>
    <hyperlink ref="B485" r:id="rId_hyperlink_478" tooltip="Открыть карточку товара на сайте" display="Открыть карточку товара на сайте"/>
    <hyperlink ref="B486" r:id="rId_hyperlink_479" tooltip="Открыть карточку товара на сайте" display="Открыть карточку товара на сайте"/>
    <hyperlink ref="B487" r:id="rId_hyperlink_480" tooltip="Открыть карточку товара на сайте" display="Открыть карточку товара на сайте"/>
    <hyperlink ref="B488" r:id="rId_hyperlink_481" tooltip="Открыть карточку товара на сайте" display="Открыть карточку товара на сайте"/>
    <hyperlink ref="B489" r:id="rId_hyperlink_482" tooltip="Открыть карточку товара на сайте" display="Открыть карточку товара на сайте"/>
    <hyperlink ref="B490" r:id="rId_hyperlink_483" tooltip="Открыть карточку товара на сайте" display="Открыть карточку товара на сайте"/>
    <hyperlink ref="B491" r:id="rId_hyperlink_484" tooltip="Открыть карточку товара на сайте" display="Открыть карточку товара на сайте"/>
    <hyperlink ref="B492" r:id="rId_hyperlink_485" tooltip="Открыть карточку товара на сайте" display="Открыть карточку товара на сайте"/>
    <hyperlink ref="B493" r:id="rId_hyperlink_486" tooltip="Открыть карточку товара на сайте" display="Открыть карточку товара на сайте"/>
    <hyperlink ref="B494" r:id="rId_hyperlink_487" tooltip="Открыть карточку товара на сайте" display="Открыть карточку товара на сайте"/>
    <hyperlink ref="B495" r:id="rId_hyperlink_488" tooltip="Открыть карточку товара на сайте" display="Открыть карточку товара на сайте"/>
    <hyperlink ref="B496" r:id="rId_hyperlink_489" tooltip="Открыть карточку товара на сайте" display="Открыть карточку товара на сайте"/>
    <hyperlink ref="B497" r:id="rId_hyperlink_490" tooltip="Открыть карточку товара на сайте" display="Открыть карточку товара на сайте"/>
    <hyperlink ref="B498" r:id="rId_hyperlink_491" tooltip="Открыть карточку товара на сайте" display="Открыть карточку товара на сайте"/>
    <hyperlink ref="B499" r:id="rId_hyperlink_492" tooltip="Открыть карточку товара на сайте" display="Открыть карточку товара на сайте"/>
    <hyperlink ref="B500" r:id="rId_hyperlink_493" tooltip="Открыть карточку товара на сайте" display="Открыть карточку товара на сайте"/>
    <hyperlink ref="B501" r:id="rId_hyperlink_494" tooltip="Открыть карточку товара на сайте" display="Открыть карточку товара на сайте"/>
    <hyperlink ref="B502" r:id="rId_hyperlink_495" tooltip="Открыть карточку товара на сайте" display="Открыть карточку товара на сайте"/>
    <hyperlink ref="B503" r:id="rId_hyperlink_496" tooltip="Открыть карточку товара на сайте" display="Открыть карточку товара на сайте"/>
    <hyperlink ref="B504" r:id="rId_hyperlink_497" tooltip="Открыть карточку товара на сайте" display="Открыть карточку товара на сайте"/>
    <hyperlink ref="B505" r:id="rId_hyperlink_498" tooltip="Открыть карточку товара на сайте" display="Открыть карточку товара на сайте"/>
    <hyperlink ref="B506" r:id="rId_hyperlink_499" tooltip="Открыть карточку товара на сайте" display="Открыть карточку товара на сайте"/>
    <hyperlink ref="B507" r:id="rId_hyperlink_500" tooltip="Открыть карточку товара на сайте" display="Открыть карточку товара на сайте"/>
    <hyperlink ref="B508" r:id="rId_hyperlink_501" tooltip="Открыть карточку товара на сайте" display="Открыть карточку товара на сайте"/>
    <hyperlink ref="B509" r:id="rId_hyperlink_502" tooltip="Открыть карточку товара на сайте" display="Открыть карточку товара на сайте"/>
    <hyperlink ref="B510" r:id="rId_hyperlink_503" tooltip="Открыть карточку товара на сайте" display="Открыть карточку товара на сайте"/>
    <hyperlink ref="B511" r:id="rId_hyperlink_504" tooltip="Открыть карточку товара на сайте" display="Открыть карточку товара на сайте"/>
    <hyperlink ref="B512" r:id="rId_hyperlink_505" tooltip="Открыть карточку товара на сайте" display="Открыть карточку товара на сайте"/>
    <hyperlink ref="B513" r:id="rId_hyperlink_506" tooltip="Открыть карточку товара на сайте" display="Открыть карточку товара на сайте"/>
    <hyperlink ref="B514" r:id="rId_hyperlink_507" tooltip="Открыть карточку товара на сайте" display="Открыть карточку товара на сайте"/>
    <hyperlink ref="B515" r:id="rId_hyperlink_508" tooltip="Открыть карточку товара на сайте" display="Открыть карточку товара на сайте"/>
    <hyperlink ref="B516" r:id="rId_hyperlink_509" tooltip="Открыть карточку товара на сайте" display="Открыть карточку товара на сайте"/>
    <hyperlink ref="B517" r:id="rId_hyperlink_510" tooltip="Открыть карточку товара на сайте" display="Открыть карточку товара на сайте"/>
    <hyperlink ref="B518" r:id="rId_hyperlink_511" tooltip="Открыть карточку товара на сайте" display="Открыть карточку товара на сайте"/>
    <hyperlink ref="B519" r:id="rId_hyperlink_512" tooltip="Открыть карточку товара на сайте" display="Открыть карточку товара на сайте"/>
    <hyperlink ref="B520" r:id="rId_hyperlink_513" tooltip="Открыть карточку товара на сайте" display="Открыть карточку товара на сайте"/>
    <hyperlink ref="B521" r:id="rId_hyperlink_514" tooltip="Открыть карточку товара на сайте" display="Открыть карточку товара на сайте"/>
    <hyperlink ref="B522" r:id="rId_hyperlink_515" tooltip="Открыть карточку товара на сайте" display="Открыть карточку товара на сайте"/>
    <hyperlink ref="B523" r:id="rId_hyperlink_516" tooltip="Открыть карточку товара на сайте" display="Открыть карточку товара на сайте"/>
    <hyperlink ref="B524" r:id="rId_hyperlink_517" tooltip="Открыть карточку товара на сайте" display="Открыть карточку товара на сайте"/>
    <hyperlink ref="B525" r:id="rId_hyperlink_518" tooltip="Открыть карточку товара на сайте" display="Открыть карточку товара на сайте"/>
    <hyperlink ref="B526" r:id="rId_hyperlink_519" tooltip="Открыть карточку товара на сайте" display="Открыть карточку товара на сайте"/>
    <hyperlink ref="B527" r:id="rId_hyperlink_520" tooltip="Открыть карточку товара на сайте" display="Открыть карточку товара на сайте"/>
    <hyperlink ref="B528" r:id="rId_hyperlink_521" tooltip="Открыть карточку товара на сайте" display="Открыть карточку товара на сайте"/>
    <hyperlink ref="B529" r:id="rId_hyperlink_522" tooltip="Открыть карточку товара на сайте" display="Открыть карточку товара на сайте"/>
    <hyperlink ref="B530" r:id="rId_hyperlink_523" tooltip="Открыть карточку товара на сайте" display="Открыть карточку товара на сайте"/>
    <hyperlink ref="B531" r:id="rId_hyperlink_524" tooltip="Открыть карточку товара на сайте" display="Открыть карточку товара на сайте"/>
    <hyperlink ref="B532" r:id="rId_hyperlink_525" tooltip="Открыть карточку товара на сайте" display="Открыть карточку товара на сайте"/>
    <hyperlink ref="B533" r:id="rId_hyperlink_526" tooltip="Открыть карточку товара на сайте" display="Открыть карточку товара на сайте"/>
    <hyperlink ref="B534" r:id="rId_hyperlink_527" tooltip="Открыть карточку товара на сайте" display="Открыть карточку товара на сайте"/>
    <hyperlink ref="B535" r:id="rId_hyperlink_528" tooltip="Открыть карточку товара на сайте" display="Открыть карточку товара на сайте"/>
    <hyperlink ref="B536" r:id="rId_hyperlink_529" tooltip="Открыть карточку товара на сайте" display="Открыть карточку товара на сайте"/>
    <hyperlink ref="B537" r:id="rId_hyperlink_530" tooltip="Открыть карточку товара на сайте" display="Открыть карточку товара на сайте"/>
    <hyperlink ref="B538" r:id="rId_hyperlink_531" tooltip="Открыть карточку товара на сайте" display="Открыть карточку товара на сайте"/>
    <hyperlink ref="B539" r:id="rId_hyperlink_532" tooltip="Открыть карточку товара на сайте" display="Открыть карточку товара на сайте"/>
    <hyperlink ref="B540" r:id="rId_hyperlink_533" tooltip="Открыть карточку товара на сайте" display="Открыть карточку товара на сайте"/>
    <hyperlink ref="B541" r:id="rId_hyperlink_534" tooltip="Открыть карточку товара на сайте" display="Открыть карточку товара на сайте"/>
    <hyperlink ref="B542" r:id="rId_hyperlink_535" tooltip="Открыть карточку товара на сайте" display="Открыть карточку товара на сайте"/>
    <hyperlink ref="B543" r:id="rId_hyperlink_536" tooltip="Открыть карточку товара на сайте" display="Открыть карточку товара на сайте"/>
    <hyperlink ref="B544" r:id="rId_hyperlink_537" tooltip="Открыть карточку товара на сайте" display="Открыть карточку товара на сайте"/>
    <hyperlink ref="B545" r:id="rId_hyperlink_538" tooltip="Открыть карточку товара на сайте" display="Открыть карточку товара на сайте"/>
    <hyperlink ref="B546" r:id="rId_hyperlink_539" tooltip="Открыть карточку товара на сайте" display="Открыть карточку товара на сайте"/>
    <hyperlink ref="B547" r:id="rId_hyperlink_540" tooltip="Открыть карточку товара на сайте" display="Открыть карточку товара на сайте"/>
    <hyperlink ref="B548" r:id="rId_hyperlink_541" tooltip="Открыть карточку товара на сайте" display="Открыть карточку товара на сайте"/>
    <hyperlink ref="B549" r:id="rId_hyperlink_542" tooltip="Открыть карточку товара на сайте" display="Открыть карточку товара на сайте"/>
    <hyperlink ref="B550" r:id="rId_hyperlink_543" tooltip="Открыть карточку товара на сайте" display="Открыть карточку товара на сайте"/>
    <hyperlink ref="B551" r:id="rId_hyperlink_544" tooltip="Открыть карточку товара на сайте" display="Открыть карточку товара на сайте"/>
    <hyperlink ref="B552" r:id="rId_hyperlink_545" tooltip="Открыть карточку товара на сайте" display="Открыть карточку товара на сайте"/>
    <hyperlink ref="B553" r:id="rId_hyperlink_546" tooltip="Открыть карточку товара на сайте" display="Открыть карточку товара на сайте"/>
    <hyperlink ref="B554" r:id="rId_hyperlink_547" tooltip="Открыть карточку товара на сайте" display="Открыть карточку товара на сайте"/>
    <hyperlink ref="B555" r:id="rId_hyperlink_548" tooltip="Открыть карточку товара на сайте" display="Открыть карточку товара на сайте"/>
    <hyperlink ref="B556" r:id="rId_hyperlink_549" tooltip="Открыть карточку товара на сайте" display="Открыть карточку товара на сайте"/>
    <hyperlink ref="B557" r:id="rId_hyperlink_550" tooltip="Открыть карточку товара на сайте" display="Открыть карточку товара на сайте"/>
    <hyperlink ref="B558" r:id="rId_hyperlink_551" tooltip="Открыть карточку товара на сайте" display="Открыть карточку товара на сайте"/>
    <hyperlink ref="B559" r:id="rId_hyperlink_552" tooltip="Открыть карточку товара на сайте" display="Открыть карточку товара на сайте"/>
    <hyperlink ref="B560" r:id="rId_hyperlink_553" tooltip="Открыть карточку товара на сайте" display="Открыть карточку товара на сайте"/>
    <hyperlink ref="B561" r:id="rId_hyperlink_554" tooltip="Открыть карточку товара на сайте" display="Открыть карточку товара на сайте"/>
    <hyperlink ref="B562" r:id="rId_hyperlink_555" tooltip="Открыть карточку товара на сайте" display="Открыть карточку товара на сайте"/>
    <hyperlink ref="B563" r:id="rId_hyperlink_556" tooltip="Открыть карточку товара на сайте" display="Открыть карточку товара на сайте"/>
    <hyperlink ref="B564" r:id="rId_hyperlink_557" tooltip="Открыть карточку товара на сайте" display="Открыть карточку товара на сайте"/>
    <hyperlink ref="B565" r:id="rId_hyperlink_558" tooltip="Открыть карточку товара на сайте" display="Открыть карточку товара на сайте"/>
    <hyperlink ref="B566" r:id="rId_hyperlink_559" tooltip="Открыть карточку товара на сайте" display="Открыть карточку товара на сайте"/>
    <hyperlink ref="B567" r:id="rId_hyperlink_560" tooltip="Открыть карточку товара на сайте" display="Открыть карточку товара на сайте"/>
    <hyperlink ref="B568" r:id="rId_hyperlink_561" tooltip="Открыть карточку товара на сайте" display="Открыть карточку товара на сайте"/>
    <hyperlink ref="B569" r:id="rId_hyperlink_562" tooltip="Открыть карточку товара на сайте" display="Открыть карточку товара на сайте"/>
    <hyperlink ref="B570" r:id="rId_hyperlink_563" tooltip="Открыть карточку товара на сайте" display="Открыть карточку товара на сайте"/>
    <hyperlink ref="B571" r:id="rId_hyperlink_564" tooltip="Открыть карточку товара на сайте" display="Открыть карточку товара на сайте"/>
    <hyperlink ref="B572" r:id="rId_hyperlink_565" tooltip="Открыть карточку товара на сайте" display="Открыть карточку товара на сайте"/>
    <hyperlink ref="B573" r:id="rId_hyperlink_566" tooltip="Открыть карточку товара на сайте" display="Открыть карточку товара на сайте"/>
    <hyperlink ref="B574" r:id="rId_hyperlink_567" tooltip="Открыть карточку товара на сайте" display="Открыть карточку товара на сайте"/>
    <hyperlink ref="B575" r:id="rId_hyperlink_568" tooltip="Открыть карточку товара на сайте" display="Открыть карточку товара на сайте"/>
    <hyperlink ref="B576" r:id="rId_hyperlink_569" tooltip="Открыть карточку товара на сайте" display="Открыть карточку товара на сайте"/>
    <hyperlink ref="B577" r:id="rId_hyperlink_570" tooltip="Открыть карточку товара на сайте" display="Открыть карточку товара на сайте"/>
    <hyperlink ref="B578" r:id="rId_hyperlink_571" tooltip="Открыть карточку товара на сайте" display="Открыть карточку товара на сайте"/>
    <hyperlink ref="B579" r:id="rId_hyperlink_572" tooltip="Открыть карточку товара на сайте" display="Открыть карточку товара на сайте"/>
    <hyperlink ref="B580" r:id="rId_hyperlink_573" tooltip="Открыть карточку товара на сайте" display="Открыть карточку товара на сайте"/>
    <hyperlink ref="B581" r:id="rId_hyperlink_574" tooltip="Открыть карточку товара на сайте" display="Открыть карточку товара на сайте"/>
    <hyperlink ref="B582" r:id="rId_hyperlink_575" tooltip="Открыть карточку товара на сайте" display="Открыть карточку товара на сайте"/>
    <hyperlink ref="B583" r:id="rId_hyperlink_576" tooltip="Открыть карточку товара на сайте" display="Открыть карточку товара на сайте"/>
    <hyperlink ref="B584" r:id="rId_hyperlink_577" tooltip="Открыть карточку товара на сайте" display="Открыть карточку товара на сайте"/>
    <hyperlink ref="B585" r:id="rId_hyperlink_578" tooltip="Открыть карточку товара на сайте" display="Открыть карточку товара на сайте"/>
    <hyperlink ref="B586" r:id="rId_hyperlink_579" tooltip="Открыть карточку товара на сайте" display="Открыть карточку товара на сайте"/>
    <hyperlink ref="B587" r:id="rId_hyperlink_580" tooltip="Открыть карточку товара на сайте" display="Открыть карточку товара на сайте"/>
    <hyperlink ref="B588" r:id="rId_hyperlink_581" tooltip="Открыть карточку товара на сайте" display="Открыть карточку товара на сайте"/>
    <hyperlink ref="B589" r:id="rId_hyperlink_582" tooltip="Открыть карточку товара на сайте" display="Открыть карточку товара на сайте"/>
    <hyperlink ref="B590" r:id="rId_hyperlink_583" tooltip="Открыть карточку товара на сайте" display="Открыть карточку товара на сайте"/>
    <hyperlink ref="B591" r:id="rId_hyperlink_584" tooltip="Открыть карточку товара на сайте" display="Открыть карточку товара на сайте"/>
    <hyperlink ref="B592" r:id="rId_hyperlink_585" tooltip="Открыть карточку товара на сайте" display="Открыть карточку товара на сайте"/>
    <hyperlink ref="B593" r:id="rId_hyperlink_586" tooltip="Открыть карточку товара на сайте" display="Открыть карточку товара на сайте"/>
    <hyperlink ref="B594" r:id="rId_hyperlink_587" tooltip="Открыть карточку товара на сайте" display="Открыть карточку товара на сайте"/>
    <hyperlink ref="B595" r:id="rId_hyperlink_588" tooltip="Открыть карточку товара на сайте" display="Открыть карточку товара на сайте"/>
    <hyperlink ref="B596" r:id="rId_hyperlink_589" tooltip="Открыть карточку товара на сайте" display="Открыть карточку товара на сайте"/>
    <hyperlink ref="B597" r:id="rId_hyperlink_590" tooltip="Открыть карточку товара на сайте" display="Открыть карточку товара на сайте"/>
    <hyperlink ref="B598" r:id="rId_hyperlink_591" tooltip="Открыть карточку товара на сайте" display="Открыть карточку товара на сайте"/>
    <hyperlink ref="B599" r:id="rId_hyperlink_592" tooltip="Открыть карточку товара на сайте" display="Открыть карточку товара на сайте"/>
    <hyperlink ref="B600" r:id="rId_hyperlink_593" tooltip="Открыть карточку товара на сайте" display="Открыть карточку товара на сайте"/>
    <hyperlink ref="B601" r:id="rId_hyperlink_594" tooltip="Открыть карточку товара на сайте" display="Открыть карточку товара на сайте"/>
    <hyperlink ref="B602" r:id="rId_hyperlink_595" tooltip="Открыть карточку товара на сайте" display="Открыть карточку товара на сайте"/>
    <hyperlink ref="B603" r:id="rId_hyperlink_596" tooltip="Открыть карточку товара на сайте" display="Открыть карточку товара на сайте"/>
    <hyperlink ref="B604" r:id="rId_hyperlink_597" tooltip="Открыть карточку товара на сайте" display="Открыть карточку товара на сайте"/>
    <hyperlink ref="B605" r:id="rId_hyperlink_598" tooltip="Открыть карточку товара на сайте" display="Открыть карточку товара на сайте"/>
    <hyperlink ref="B606" r:id="rId_hyperlink_599" tooltip="Открыть карточку товара на сайте" display="Открыть карточку товара на сайте"/>
    <hyperlink ref="B607" r:id="rId_hyperlink_600" tooltip="Открыть карточку товара на сайте" display="Открыть карточку товара на сайте"/>
    <hyperlink ref="B608" r:id="rId_hyperlink_601" tooltip="Открыть карточку товара на сайте" display="Открыть карточку товара на сайте"/>
    <hyperlink ref="B609" r:id="rId_hyperlink_602" tooltip="Открыть карточку товара на сайте" display="Открыть карточку товара на сайте"/>
    <hyperlink ref="B610" r:id="rId_hyperlink_603" tooltip="Открыть карточку товара на сайте" display="Открыть карточку товара на сайте"/>
    <hyperlink ref="B611" r:id="rId_hyperlink_604" tooltip="Открыть карточку товара на сайте" display="Открыть карточку товара на сайте"/>
    <hyperlink ref="B612" r:id="rId_hyperlink_605" tooltip="Открыть карточку товара на сайте" display="Открыть карточку товара на сайте"/>
    <hyperlink ref="B613" r:id="rId_hyperlink_606" tooltip="Открыть карточку товара на сайте" display="Открыть карточку товара на сайте"/>
    <hyperlink ref="B614" r:id="rId_hyperlink_607" tooltip="Открыть карточку товара на сайте" display="Открыть карточку товара на сайте"/>
    <hyperlink ref="B615" r:id="rId_hyperlink_608" tooltip="Открыть карточку товара на сайте" display="Открыть карточку товара на сайте"/>
    <hyperlink ref="B616" r:id="rId_hyperlink_609" tooltip="Открыть карточку товара на сайте" display="Открыть карточку товара на сайте"/>
    <hyperlink ref="B617" r:id="rId_hyperlink_610" tooltip="Открыть карточку товара на сайте" display="Открыть карточку товара на сайте"/>
    <hyperlink ref="B618" r:id="rId_hyperlink_611" tooltip="Открыть карточку товара на сайте" display="Открыть карточку товара на сайте"/>
    <hyperlink ref="B619" r:id="rId_hyperlink_612" tooltip="Открыть карточку товара на сайте" display="Открыть карточку товара на сайте"/>
    <hyperlink ref="B620" r:id="rId_hyperlink_613" tooltip="Открыть карточку товара на сайте" display="Открыть карточку товара на сайте"/>
    <hyperlink ref="B621" r:id="rId_hyperlink_614" tooltip="Открыть карточку товара на сайте" display="Открыть карточку товара на сайте"/>
    <hyperlink ref="B622" r:id="rId_hyperlink_615" tooltip="Открыть карточку товара на сайте" display="Открыть карточку товара на сайте"/>
    <hyperlink ref="B623" r:id="rId_hyperlink_61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62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1871</v>
      </c>
    </row>
    <row r="2" spans="1:12" customHeight="1" ht="26">
      <c r="A2" s="54" t="s">
        <v>1872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1873</v>
      </c>
      <c r="B6" s="56"/>
      <c r="C6" s="57" t="str">
        <f>'Прайс и заказ'!K625</f>
      </c>
      <c r="D6" s="58" t="s">
        <v>1865</v>
      </c>
      <c r="E6" s="56"/>
      <c r="F6" s="57" t="str">
        <f>'Прайс и заказ'!K626</f>
      </c>
      <c r="G6" s="58" t="s">
        <v>1866</v>
      </c>
      <c r="H6" s="56"/>
      <c r="I6" s="59" t="str">
        <f>'Прайс и заказ'!K627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1874</v>
      </c>
      <c r="G8" s="60" t="s">
        <v>23</v>
      </c>
      <c r="H8" s="60" t="s">
        <v>24</v>
      </c>
      <c r="I8" s="60" t="s">
        <v>5</v>
      </c>
      <c r="J8" s="40" t="s">
        <v>1867</v>
      </c>
      <c r="L8" s="40" t="s">
        <v>1869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заказ'!$N$7:$N$623,0)+6,0)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заказ'!$N$7:$N$623,0)+6,0)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заказ'!$N$7:$N$623,0)+6,0)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заказ'!$N$7:$N$623,0)+6,0)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заказ'!$N$7:$N$623,0)+6,0)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заказ'!$N$7:$N$623,0)+6,0)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заказ'!$N$7:$N$623,0)+6,0)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заказ'!$N$7:$N$623,0)+6,0)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заказ'!$N$7:$N$623,0)+6,0)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заказ'!$N$7:$N$623,0)+6,0)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заказ'!$N$7:$N$623,0)+6,0)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заказ'!$N$7:$N$623,0)+6,0)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заказ'!$N$7:$N$623,0)+6,0)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заказ'!$N$7:$N$623,0)+6,0)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заказ'!$N$7:$N$623,0)+6,0)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заказ'!$N$7:$N$623,0)+6,0)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заказ'!$N$7:$N$623,0)+6,0)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заказ'!$N$7:$N$623,0)+6,0)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заказ'!$N$7:$N$623,0)+6,0)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заказ'!$N$7:$N$623,0)+6,0)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заказ'!$N$7:$N$623,0)+6,0)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заказ'!$N$7:$N$623,0)+6,0)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заказ'!$N$7:$N$623,0)+6,0)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заказ'!$N$7:$N$623,0)+6,0)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заказ'!$N$7:$N$623,0)+6,0)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заказ'!$N$7:$N$623,0)+6,0)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заказ'!$N$7:$N$623,0)+6,0)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заказ'!$N$7:$N$623,0)+6,0)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заказ'!$N$7:$N$623,0)+6,0)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заказ'!$N$7:$N$623,0)+6,0)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заказ'!$N$7:$N$623,0)+6,0)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заказ'!$N$7:$N$623,0)+6,0)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заказ'!$N$7:$N$623,0)+6,0)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заказ'!$N$7:$N$623,0)+6,0)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заказ'!$N$7:$N$623,0)+6,0)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заказ'!$N$7:$N$623,0)+6,0)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заказ'!$N$7:$N$623,0)+6,0)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заказ'!$N$7:$N$623,0)+6,0)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заказ'!$N$7:$N$623,0)+6,0)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заказ'!$N$7:$N$623,0)+6,0)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заказ'!$N$7:$N$623,0)+6,0)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заказ'!$N$7:$N$623,0)+6,0)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заказ'!$N$7:$N$623,0)+6,0)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заказ'!$N$7:$N$623,0)+6,0)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заказ'!$N$7:$N$623,0)+6,0)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заказ'!$N$7:$N$623,0)+6,0)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заказ'!$N$7:$N$623,0)+6,0)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заказ'!$N$7:$N$623,0)+6,0)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заказ'!$N$7:$N$623,0)+6,0)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заказ'!$N$7:$N$623,0)+6,0)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заказ'!$N$7:$N$623,0)+6,0)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заказ'!$N$7:$N$623,0)+6,0)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заказ'!$N$7:$N$623,0)+6,0)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заказ'!$N$7:$N$623,0)+6,0)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заказ'!$N$7:$N$623,0)+6,0)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заказ'!$N$7:$N$623,0)+6,0)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заказ'!$N$7:$N$623,0)+6,0)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заказ'!$N$7:$N$623,0)+6,0)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заказ'!$N$7:$N$623,0)+6,0)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заказ'!$N$7:$N$623,0)+6,0)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заказ'!$N$7:$N$623,0)+6,0)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заказ'!$N$7:$N$623,0)+6,0)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заказ'!$N$7:$N$623,0)+6,0)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заказ'!$N$7:$N$623,0)+6,0)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заказ'!$N$7:$N$623,0)+6,0)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заказ'!$N$7:$N$623,0)+6,0)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заказ'!$N$7:$N$623,0)+6,0)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заказ'!$N$7:$N$623,0)+6,0)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заказ'!$N$7:$N$623,0)+6,0)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заказ'!$N$7:$N$623,0)+6,0)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заказ'!$N$7:$N$623,0)+6,0)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заказ'!$N$7:$N$623,0)+6,0)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заказ'!$N$7:$N$623,0)+6,0)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заказ'!$N$7:$N$623,0)+6,0)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заказ'!$N$7:$N$623,0)+6,0)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заказ'!$N$7:$N$623,0)+6,0)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заказ'!$N$7:$N$623,0)+6,0)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заказ'!$N$7:$N$623,0)+6,0)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заказ'!$N$7:$N$623,0)+6,0)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заказ'!$N$7:$N$623,0)+6,0)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заказ'!$N$7:$N$623,0)+6,0)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заказ'!$N$7:$N$623,0)+6,0)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заказ'!$N$7:$N$623,0)+6,0)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заказ'!$N$7:$N$623,0)+6,0)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заказ'!$N$7:$N$623,0)+6,0)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заказ'!$N$7:$N$623,0)+6,0)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заказ'!$N$7:$N$623,0)+6,0)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заказ'!$N$7:$N$623,0)+6,0)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заказ'!$N$7:$N$623,0)+6,0)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заказ'!$N$7:$N$623,0)+6,0)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заказ'!$N$7:$N$623,0)+6,0)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заказ'!$N$7:$N$623,0)+6,0)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заказ'!$N$7:$N$623,0)+6,0)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заказ'!$N$7:$N$623,0)+6,0)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заказ'!$N$7:$N$623,0)+6,0)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заказ'!$N$7:$N$623,0)+6,0)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заказ'!$N$7:$N$623,0)+6,0)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заказ'!$N$7:$N$623,0)+6,0)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заказ'!$N$7:$N$623,0)+6,0)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заказ'!$N$7:$N$623,0)+6,0)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заказ'!$N$7:$N$623,0)+6,0)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заказ'!$N$7:$N$623,0)+6,0)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заказ'!$N$7:$N$623,0)+6,0)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заказ'!$N$7:$N$623,0)+6,0)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заказ'!$N$7:$N$623,0)+6,0)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заказ'!$N$7:$N$623,0)+6,0)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заказ'!$N$7:$N$623,0)+6,0)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заказ'!$N$7:$N$623,0)+6,0)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заказ'!$N$7:$N$623,0)+6,0)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заказ'!$N$7:$N$623,0)+6,0)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заказ'!$N$7:$N$623,0)+6,0)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заказ'!$N$7:$N$623,0)+6,0)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заказ'!$N$7:$N$623,0)+6,0)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заказ'!$N$7:$N$623,0)+6,0)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заказ'!$N$7:$N$623,0)+6,0)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заказ'!$N$7:$N$623,0)+6,0)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заказ'!$N$7:$N$623,0)+6,0)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заказ'!$N$7:$N$623,0)+6,0)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заказ'!$N$7:$N$623,0)+6,0)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заказ'!$N$7:$N$623,0)+6,0)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заказ'!$N$7:$N$623,0)+6,0)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заказ'!$N$7:$N$623,0)+6,0)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заказ'!$N$7:$N$623,0)+6,0)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заказ'!$N$7:$N$623,0)+6,0)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заказ'!$N$7:$N$623,0)+6,0)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заказ'!$N$7:$N$623,0)+6,0)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заказ'!$N$7:$N$623,0)+6,0)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заказ'!$N$7:$N$623,0)+6,0)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заказ'!$N$7:$N$623,0)+6,0)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заказ'!$N$7:$N$623,0)+6,0)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заказ'!$N$7:$N$623,0)+6,0)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заказ'!$N$7:$N$623,0)+6,0)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заказ'!$N$7:$N$623,0)+6,0)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заказ'!$N$7:$N$623,0)+6,0)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заказ'!$N$7:$N$623,0)+6,0)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заказ'!$N$7:$N$623,0)+6,0)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заказ'!$N$7:$N$623,0)+6,0)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заказ'!$N$7:$N$623,0)+6,0)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заказ'!$N$7:$N$623,0)+6,0)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заказ'!$N$7:$N$623,0)+6,0)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заказ'!$N$7:$N$623,0)+6,0)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заказ'!$N$7:$N$623,0)+6,0)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заказ'!$N$7:$N$623,0)+6,0)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заказ'!$N$7:$N$623,0)+6,0)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заказ'!$N$7:$N$623,0)+6,0)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заказ'!$N$7:$N$623,0)+6,0)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заказ'!$N$7:$N$623,0)+6,0)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заказ'!$N$7:$N$623,0)+6,0)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заказ'!$N$7:$N$623,0)+6,0)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заказ'!$N$7:$N$623,0)+6,0)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заказ'!$N$7:$N$623,0)+6,0)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заказ'!$N$7:$N$623,0)+6,0)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заказ'!$N$7:$N$623,0)+6,0)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заказ'!$N$7:$N$623,0)+6,0)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заказ'!$N$7:$N$623,0)+6,0)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заказ'!$N$7:$N$623,0)+6,0)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заказ'!$N$7:$N$623,0)+6,0)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заказ'!$N$7:$N$623,0)+6,0)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заказ'!$N$7:$N$623,0)+6,0)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заказ'!$N$7:$N$623,0)+6,0)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заказ'!$N$7:$N$623,0)+6,0)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заказ'!$N$7:$N$623,0)+6,0)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заказ'!$N$7:$N$623,0)+6,0)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заказ'!$N$7:$N$623,0)+6,0)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заказ'!$N$7:$N$623,0)+6,0)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заказ'!$N$7:$N$623,0)+6,0)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заказ'!$N$7:$N$623,0)+6,0)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заказ'!$N$7:$N$623,0)+6,0)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заказ'!$N$7:$N$623,0)+6,0)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заказ'!$N$7:$N$623,0)+6,0)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заказ'!$N$7:$N$623,0)+6,0)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заказ'!$N$7:$N$623,0)+6,0)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заказ'!$N$7:$N$623,0)+6,0)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заказ'!$N$7:$N$623,0)+6,0)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заказ'!$N$7:$N$623,0)+6,0)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заказ'!$N$7:$N$623,0)+6,0)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заказ'!$N$7:$N$623,0)+6,0)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заказ'!$N$7:$N$623,0)+6,0)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заказ'!$N$7:$N$623,0)+6,0)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заказ'!$N$7:$N$623,0)+6,0)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заказ'!$N$7:$N$623,0)+6,0)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заказ'!$N$7:$N$623,0)+6,0)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заказ'!$N$7:$N$623,0)+6,0)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заказ'!$N$7:$N$623,0)+6,0)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заказ'!$N$7:$N$623,0)+6,0)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заказ'!$N$7:$N$623,0)+6,0)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заказ'!$N$7:$N$623,0)+6,0)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заказ'!$N$7:$N$623,0)+6,0)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заказ'!$N$7:$N$623,0)+6,0)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заказ'!$N$7:$N$623,0)+6,0)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заказ'!$N$7:$N$623,0)+6,0)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заказ'!$N$7:$N$623,0)+6,0)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заказ'!$N$7:$N$623,0)+6,0)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заказ'!$N$7:$N$623,0)+6,0)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заказ'!$N$7:$N$623,0)+6,0)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заказ'!$N$7:$N$623,0)+6,0)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заказ'!$N$7:$N$623,0)+6,0)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заказ'!$N$7:$N$623,0)+6,0)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заказ'!$N$7:$N$623,0)+6,0)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заказ'!$N$7:$N$623,0)+6,0)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заказ'!$N$7:$N$623,0)+6,0)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заказ'!$N$7:$N$623,0)+6,0)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заказ'!$N$7:$N$623,0)+6,0)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заказ'!$N$7:$N$623,0)+6,0)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заказ'!$N$7:$N$623,0)+6,0)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заказ'!$N$7:$N$623,0)+6,0)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заказ'!$N$7:$N$623,0)+6,0)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заказ'!$N$7:$N$623,0)+6,0)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заказ'!$N$7:$N$623,0)+6,0)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заказ'!$N$7:$N$623,0)+6,0)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заказ'!$N$7:$N$623,0)+6,0)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заказ'!$N$7:$N$623,0)+6,0)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заказ'!$N$7:$N$623,0)+6,0)</f>
      </c>
      <c r="L221" t="str">
        <f>IF($J221=0,"",IF(INDEX('Прайс и заказ'!Q:Q,$J221)="","",INDEX('Прайс и заказ'!Q:Q,$J221)))</f>
      </c>
    </row>
    <row r="222" spans="1:12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заказ'!$N$7:$N$623,0)+6,0)</f>
      </c>
      <c r="L222" t="str">
        <f>IF($J222=0,"",IF(INDEX('Прайс и заказ'!Q:Q,$J222)="","",INDEX('Прайс и заказ'!Q:Q,$J222)))</f>
      </c>
    </row>
    <row r="223" spans="1:12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заказ'!$N$7:$N$623,0)+6,0)</f>
      </c>
      <c r="L223" t="str">
        <f>IF($J223=0,"",IF(INDEX('Прайс и заказ'!Q:Q,$J223)="","",INDEX('Прайс и заказ'!Q:Q,$J223)))</f>
      </c>
    </row>
    <row r="224" spans="1:12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заказ'!$N$7:$N$623,0)+6,0)</f>
      </c>
      <c r="L224" t="str">
        <f>IF($J224=0,"",IF(INDEX('Прайс и заказ'!Q:Q,$J224)="","",INDEX('Прайс и заказ'!Q:Q,$J224)))</f>
      </c>
    </row>
    <row r="225" spans="1:12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заказ'!$N$7:$N$623,0)+6,0)</f>
      </c>
      <c r="L225" t="str">
        <f>IF($J225=0,"",IF(INDEX('Прайс и заказ'!Q:Q,$J225)="","",INDEX('Прайс и заказ'!Q:Q,$J225)))</f>
      </c>
    </row>
    <row r="226" spans="1:12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заказ'!$N$7:$N$623,0)+6,0)</f>
      </c>
      <c r="L226" t="str">
        <f>IF($J226=0,"",IF(INDEX('Прайс и заказ'!Q:Q,$J226)="","",INDEX('Прайс и заказ'!Q:Q,$J226)))</f>
      </c>
    </row>
    <row r="227" spans="1:12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заказ'!$N$7:$N$623,0)+6,0)</f>
      </c>
      <c r="L227" t="str">
        <f>IF($J227=0,"",IF(INDEX('Прайс и заказ'!Q:Q,$J227)="","",INDEX('Прайс и заказ'!Q:Q,$J227)))</f>
      </c>
    </row>
    <row r="228" spans="1:12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заказ'!$N$7:$N$623,0)+6,0)</f>
      </c>
      <c r="L228" t="str">
        <f>IF($J228=0,"",IF(INDEX('Прайс и заказ'!Q:Q,$J228)="","",INDEX('Прайс и заказ'!Q:Q,$J228)))</f>
      </c>
    </row>
    <row r="229" spans="1:12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заказ'!$N$7:$N$623,0)+6,0)</f>
      </c>
      <c r="L229" t="str">
        <f>IF($J229=0,"",IF(INDEX('Прайс и заказ'!Q:Q,$J229)="","",INDEX('Прайс и заказ'!Q:Q,$J229)))</f>
      </c>
    </row>
    <row r="230" spans="1:12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заказ'!$N$7:$N$623,0)+6,0)</f>
      </c>
      <c r="L230" t="str">
        <f>IF($J230=0,"",IF(INDEX('Прайс и заказ'!Q:Q,$J230)="","",INDEX('Прайс и заказ'!Q:Q,$J230)))</f>
      </c>
    </row>
    <row r="231" spans="1:12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заказ'!$N$7:$N$623,0)+6,0)</f>
      </c>
      <c r="L231" t="str">
        <f>IF($J231=0,"",IF(INDEX('Прайс и заказ'!Q:Q,$J231)="","",INDEX('Прайс и заказ'!Q:Q,$J231)))</f>
      </c>
    </row>
    <row r="232" spans="1:12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заказ'!$N$7:$N$623,0)+6,0)</f>
      </c>
      <c r="L232" t="str">
        <f>IF($J232=0,"",IF(INDEX('Прайс и заказ'!Q:Q,$J232)="","",INDEX('Прайс и заказ'!Q:Q,$J232)))</f>
      </c>
    </row>
    <row r="233" spans="1:12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заказ'!$N$7:$N$623,0)+6,0)</f>
      </c>
      <c r="L233" t="str">
        <f>IF($J233=0,"",IF(INDEX('Прайс и заказ'!Q:Q,$J233)="","",INDEX('Прайс и заказ'!Q:Q,$J233)))</f>
      </c>
    </row>
    <row r="234" spans="1:12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заказ'!$N$7:$N$623,0)+6,0)</f>
      </c>
      <c r="L234" t="str">
        <f>IF($J234=0,"",IF(INDEX('Прайс и заказ'!Q:Q,$J234)="","",INDEX('Прайс и заказ'!Q:Q,$J234)))</f>
      </c>
    </row>
    <row r="235" spans="1:12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заказ'!$N$7:$N$623,0)+6,0)</f>
      </c>
      <c r="L235" t="str">
        <f>IF($J235=0,"",IF(INDEX('Прайс и заказ'!Q:Q,$J235)="","",INDEX('Прайс и заказ'!Q:Q,$J235)))</f>
      </c>
    </row>
    <row r="236" spans="1:12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заказ'!$N$7:$N$623,0)+6,0)</f>
      </c>
      <c r="L236" t="str">
        <f>IF($J236=0,"",IF(INDEX('Прайс и заказ'!Q:Q,$J236)="","",INDEX('Прайс и заказ'!Q:Q,$J236)))</f>
      </c>
    </row>
    <row r="237" spans="1:12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заказ'!$N$7:$N$623,0)+6,0)</f>
      </c>
      <c r="L237" t="str">
        <f>IF($J237=0,"",IF(INDEX('Прайс и заказ'!Q:Q,$J237)="","",INDEX('Прайс и заказ'!Q:Q,$J237)))</f>
      </c>
    </row>
    <row r="238" spans="1:12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заказ'!$N$7:$N$623,0)+6,0)</f>
      </c>
      <c r="L238" t="str">
        <f>IF($J238=0,"",IF(INDEX('Прайс и заказ'!Q:Q,$J238)="","",INDEX('Прайс и заказ'!Q:Q,$J238)))</f>
      </c>
    </row>
    <row r="239" spans="1:12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заказ'!$N$7:$N$623,0)+6,0)</f>
      </c>
      <c r="L239" t="str">
        <f>IF($J239=0,"",IF(INDEX('Прайс и заказ'!Q:Q,$J239)="","",INDEX('Прайс и заказ'!Q:Q,$J239)))</f>
      </c>
    </row>
    <row r="240" spans="1:12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заказ'!$N$7:$N$623,0)+6,0)</f>
      </c>
      <c r="L240" t="str">
        <f>IF($J240=0,"",IF(INDEX('Прайс и заказ'!Q:Q,$J240)="","",INDEX('Прайс и заказ'!Q:Q,$J240)))</f>
      </c>
    </row>
    <row r="241" spans="1:12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заказ'!$N$7:$N$623,0)+6,0)</f>
      </c>
      <c r="L241" t="str">
        <f>IF($J241=0,"",IF(INDEX('Прайс и заказ'!Q:Q,$J241)="","",INDEX('Прайс и заказ'!Q:Q,$J241)))</f>
      </c>
    </row>
    <row r="242" spans="1:12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заказ'!$N$7:$N$623,0)+6,0)</f>
      </c>
      <c r="L242" t="str">
        <f>IF($J242=0,"",IF(INDEX('Прайс и заказ'!Q:Q,$J242)="","",INDEX('Прайс и заказ'!Q:Q,$J242)))</f>
      </c>
    </row>
    <row r="243" spans="1:12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заказ'!$N$7:$N$623,0)+6,0)</f>
      </c>
      <c r="L243" t="str">
        <f>IF($J243=0,"",IF(INDEX('Прайс и заказ'!Q:Q,$J243)="","",INDEX('Прайс и заказ'!Q:Q,$J243)))</f>
      </c>
    </row>
    <row r="244" spans="1:12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заказ'!$N$7:$N$623,0)+6,0)</f>
      </c>
      <c r="L244" t="str">
        <f>IF($J244=0,"",IF(INDEX('Прайс и заказ'!Q:Q,$J244)="","",INDEX('Прайс и заказ'!Q:Q,$J244)))</f>
      </c>
    </row>
    <row r="245" spans="1:12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заказ'!$N$7:$N$623,0)+6,0)</f>
      </c>
      <c r="L245" t="str">
        <f>IF($J245=0,"",IF(INDEX('Прайс и заказ'!Q:Q,$J245)="","",INDEX('Прайс и заказ'!Q:Q,$J245)))</f>
      </c>
    </row>
    <row r="246" spans="1:12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заказ'!$N$7:$N$623,0)+6,0)</f>
      </c>
      <c r="L246" t="str">
        <f>IF($J246=0,"",IF(INDEX('Прайс и заказ'!Q:Q,$J246)="","",INDEX('Прайс и заказ'!Q:Q,$J246)))</f>
      </c>
    </row>
    <row r="247" spans="1:12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заказ'!$N$7:$N$623,0)+6,0)</f>
      </c>
      <c r="L247" t="str">
        <f>IF($J247=0,"",IF(INDEX('Прайс и заказ'!Q:Q,$J247)="","",INDEX('Прайс и заказ'!Q:Q,$J247)))</f>
      </c>
    </row>
    <row r="248" spans="1:12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заказ'!$N$7:$N$623,0)+6,0)</f>
      </c>
      <c r="L248" t="str">
        <f>IF($J248=0,"",IF(INDEX('Прайс и заказ'!Q:Q,$J248)="","",INDEX('Прайс и заказ'!Q:Q,$J248)))</f>
      </c>
    </row>
    <row r="249" spans="1:12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заказ'!$N$7:$N$623,0)+6,0)</f>
      </c>
      <c r="L249" t="str">
        <f>IF($J249=0,"",IF(INDEX('Прайс и заказ'!Q:Q,$J249)="","",INDEX('Прайс и заказ'!Q:Q,$J249)))</f>
      </c>
    </row>
    <row r="250" spans="1:12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заказ'!$N$7:$N$623,0)+6,0)</f>
      </c>
      <c r="L250" t="str">
        <f>IF($J250=0,"",IF(INDEX('Прайс и заказ'!Q:Q,$J250)="","",INDEX('Прайс и заказ'!Q:Q,$J250)))</f>
      </c>
    </row>
    <row r="251" spans="1:12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заказ'!$N$7:$N$623,0)+6,0)</f>
      </c>
      <c r="L251" t="str">
        <f>IF($J251=0,"",IF(INDEX('Прайс и заказ'!Q:Q,$J251)="","",INDEX('Прайс и заказ'!Q:Q,$J251)))</f>
      </c>
    </row>
    <row r="252" spans="1:12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заказ'!$N$7:$N$623,0)+6,0)</f>
      </c>
      <c r="L252" t="str">
        <f>IF($J252=0,"",IF(INDEX('Прайс и заказ'!Q:Q,$J252)="","",INDEX('Прайс и заказ'!Q:Q,$J252)))</f>
      </c>
    </row>
    <row r="253" spans="1:12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заказ'!$N$7:$N$623,0)+6,0)</f>
      </c>
      <c r="L253" t="str">
        <f>IF($J253=0,"",IF(INDEX('Прайс и заказ'!Q:Q,$J253)="","",INDEX('Прайс и заказ'!Q:Q,$J253)))</f>
      </c>
    </row>
    <row r="254" spans="1:12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заказ'!$N$7:$N$623,0)+6,0)</f>
      </c>
      <c r="L254" t="str">
        <f>IF($J254=0,"",IF(INDEX('Прайс и заказ'!Q:Q,$J254)="","",INDEX('Прайс и заказ'!Q:Q,$J254)))</f>
      </c>
    </row>
    <row r="255" spans="1:12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заказ'!$N$7:$N$623,0)+6,0)</f>
      </c>
      <c r="L255" t="str">
        <f>IF($J255=0,"",IF(INDEX('Прайс и заказ'!Q:Q,$J255)="","",INDEX('Прайс и заказ'!Q:Q,$J255)))</f>
      </c>
    </row>
    <row r="256" spans="1:12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заказ'!$N$7:$N$623,0)+6,0)</f>
      </c>
      <c r="L256" t="str">
        <f>IF($J256=0,"",IF(INDEX('Прайс и заказ'!Q:Q,$J256)="","",INDEX('Прайс и заказ'!Q:Q,$J256)))</f>
      </c>
    </row>
    <row r="257" spans="1:12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заказ'!$N$7:$N$623,0)+6,0)</f>
      </c>
      <c r="L257" t="str">
        <f>IF($J257=0,"",IF(INDEX('Прайс и заказ'!Q:Q,$J257)="","",INDEX('Прайс и заказ'!Q:Q,$J257)))</f>
      </c>
    </row>
    <row r="258" spans="1:12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заказ'!$N$7:$N$623,0)+6,0)</f>
      </c>
      <c r="L258" t="str">
        <f>IF($J258=0,"",IF(INDEX('Прайс и заказ'!Q:Q,$J258)="","",INDEX('Прайс и заказ'!Q:Q,$J258)))</f>
      </c>
    </row>
    <row r="259" spans="1:12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заказ'!$N$7:$N$623,0)+6,0)</f>
      </c>
      <c r="L259" t="str">
        <f>IF($J259=0,"",IF(INDEX('Прайс и заказ'!Q:Q,$J259)="","",INDEX('Прайс и заказ'!Q:Q,$J259)))</f>
      </c>
    </row>
    <row r="260" spans="1:12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заказ'!$N$7:$N$623,0)+6,0)</f>
      </c>
      <c r="L260" t="str">
        <f>IF($J260=0,"",IF(INDEX('Прайс и заказ'!Q:Q,$J260)="","",INDEX('Прайс и заказ'!Q:Q,$J260)))</f>
      </c>
    </row>
    <row r="261" spans="1:12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заказ'!$N$7:$N$623,0)+6,0)</f>
      </c>
      <c r="L261" t="str">
        <f>IF($J261=0,"",IF(INDEX('Прайс и заказ'!Q:Q,$J261)="","",INDEX('Прайс и заказ'!Q:Q,$J261)))</f>
      </c>
    </row>
    <row r="262" spans="1:12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заказ'!$N$7:$N$623,0)+6,0)</f>
      </c>
      <c r="L262" t="str">
        <f>IF($J262=0,"",IF(INDEX('Прайс и заказ'!Q:Q,$J262)="","",INDEX('Прайс и заказ'!Q:Q,$J262)))</f>
      </c>
    </row>
    <row r="263" spans="1:12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заказ'!$N$7:$N$623,0)+6,0)</f>
      </c>
      <c r="L263" t="str">
        <f>IF($J263=0,"",IF(INDEX('Прайс и заказ'!Q:Q,$J263)="","",INDEX('Прайс и заказ'!Q:Q,$J263)))</f>
      </c>
    </row>
    <row r="264" spans="1:12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заказ'!$N$7:$N$623,0)+6,0)</f>
      </c>
      <c r="L264" t="str">
        <f>IF($J264=0,"",IF(INDEX('Прайс и заказ'!Q:Q,$J264)="","",INDEX('Прайс и заказ'!Q:Q,$J264)))</f>
      </c>
    </row>
    <row r="265" spans="1:12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заказ'!$N$7:$N$623,0)+6,0)</f>
      </c>
      <c r="L265" t="str">
        <f>IF($J265=0,"",IF(INDEX('Прайс и заказ'!Q:Q,$J265)="","",INDEX('Прайс и заказ'!Q:Q,$J265)))</f>
      </c>
    </row>
    <row r="266" spans="1:12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заказ'!$N$7:$N$623,0)+6,0)</f>
      </c>
      <c r="L266" t="str">
        <f>IF($J266=0,"",IF(INDEX('Прайс и заказ'!Q:Q,$J266)="","",INDEX('Прайс и заказ'!Q:Q,$J266)))</f>
      </c>
    </row>
    <row r="267" spans="1:12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заказ'!$N$7:$N$623,0)+6,0)</f>
      </c>
      <c r="L267" t="str">
        <f>IF($J267=0,"",IF(INDEX('Прайс и заказ'!Q:Q,$J267)="","",INDEX('Прайс и заказ'!Q:Q,$J267)))</f>
      </c>
    </row>
    <row r="268" spans="1:12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заказ'!$N$7:$N$623,0)+6,0)</f>
      </c>
      <c r="L268" t="str">
        <f>IF($J268=0,"",IF(INDEX('Прайс и заказ'!Q:Q,$J268)="","",INDEX('Прайс и заказ'!Q:Q,$J268)))</f>
      </c>
    </row>
    <row r="269" spans="1:12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заказ'!$N$7:$N$623,0)+6,0)</f>
      </c>
      <c r="L269" t="str">
        <f>IF($J269=0,"",IF(INDEX('Прайс и заказ'!Q:Q,$J269)="","",INDEX('Прайс и заказ'!Q:Q,$J269)))</f>
      </c>
    </row>
    <row r="270" spans="1:12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заказ'!$N$7:$N$623,0)+6,0)</f>
      </c>
      <c r="L270" t="str">
        <f>IF($J270=0,"",IF(INDEX('Прайс и заказ'!Q:Q,$J270)="","",INDEX('Прайс и заказ'!Q:Q,$J270)))</f>
      </c>
    </row>
    <row r="271" spans="1:12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заказ'!$N$7:$N$623,0)+6,0)</f>
      </c>
      <c r="L271" t="str">
        <f>IF($J271=0,"",IF(INDEX('Прайс и заказ'!Q:Q,$J271)="","",INDEX('Прайс и заказ'!Q:Q,$J271)))</f>
      </c>
    </row>
    <row r="272" spans="1:12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заказ'!$N$7:$N$623,0)+6,0)</f>
      </c>
      <c r="L272" t="str">
        <f>IF($J272=0,"",IF(INDEX('Прайс и заказ'!Q:Q,$J272)="","",INDEX('Прайс и заказ'!Q:Q,$J272)))</f>
      </c>
    </row>
    <row r="273" spans="1:12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заказ'!$N$7:$N$623,0)+6,0)</f>
      </c>
      <c r="L273" t="str">
        <f>IF($J273=0,"",IF(INDEX('Прайс и заказ'!Q:Q,$J273)="","",INDEX('Прайс и заказ'!Q:Q,$J273)))</f>
      </c>
    </row>
    <row r="274" spans="1:12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заказ'!$N$7:$N$623,0)+6,0)</f>
      </c>
      <c r="L274" t="str">
        <f>IF($J274=0,"",IF(INDEX('Прайс и заказ'!Q:Q,$J274)="","",INDEX('Прайс и заказ'!Q:Q,$J274)))</f>
      </c>
    </row>
    <row r="275" spans="1:12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заказ'!$N$7:$N$623,0)+6,0)</f>
      </c>
      <c r="L275" t="str">
        <f>IF($J275=0,"",IF(INDEX('Прайс и заказ'!Q:Q,$J275)="","",INDEX('Прайс и заказ'!Q:Q,$J275)))</f>
      </c>
    </row>
    <row r="276" spans="1:12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заказ'!$N$7:$N$623,0)+6,0)</f>
      </c>
      <c r="L276" t="str">
        <f>IF($J276=0,"",IF(INDEX('Прайс и заказ'!Q:Q,$J276)="","",INDEX('Прайс и заказ'!Q:Q,$J276)))</f>
      </c>
    </row>
    <row r="277" spans="1:12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заказ'!$N$7:$N$623,0)+6,0)</f>
      </c>
      <c r="L277" t="str">
        <f>IF($J277=0,"",IF(INDEX('Прайс и заказ'!Q:Q,$J277)="","",INDEX('Прайс и заказ'!Q:Q,$J277)))</f>
      </c>
    </row>
    <row r="278" spans="1:12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заказ'!$N$7:$N$623,0)+6,0)</f>
      </c>
      <c r="L278" t="str">
        <f>IF($J278=0,"",IF(INDEX('Прайс и заказ'!Q:Q,$J278)="","",INDEX('Прайс и заказ'!Q:Q,$J278)))</f>
      </c>
    </row>
    <row r="279" spans="1:12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заказ'!$N$7:$N$623,0)+6,0)</f>
      </c>
      <c r="L279" t="str">
        <f>IF($J279=0,"",IF(INDEX('Прайс и заказ'!Q:Q,$J279)="","",INDEX('Прайс и заказ'!Q:Q,$J279)))</f>
      </c>
    </row>
    <row r="280" spans="1:12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заказ'!$N$7:$N$623,0)+6,0)</f>
      </c>
      <c r="L280" t="str">
        <f>IF($J280=0,"",IF(INDEX('Прайс и заказ'!Q:Q,$J280)="","",INDEX('Прайс и заказ'!Q:Q,$J280)))</f>
      </c>
    </row>
    <row r="281" spans="1:12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заказ'!$N$7:$N$623,0)+6,0)</f>
      </c>
      <c r="L281" t="str">
        <f>IF($J281=0,"",IF(INDEX('Прайс и заказ'!Q:Q,$J281)="","",INDEX('Прайс и заказ'!Q:Q,$J281)))</f>
      </c>
    </row>
    <row r="282" spans="1:12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заказ'!$N$7:$N$623,0)+6,0)</f>
      </c>
      <c r="L282" t="str">
        <f>IF($J282=0,"",IF(INDEX('Прайс и заказ'!Q:Q,$J282)="","",INDEX('Прайс и заказ'!Q:Q,$J282)))</f>
      </c>
    </row>
    <row r="283" spans="1:12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заказ'!$N$7:$N$623,0)+6,0)</f>
      </c>
      <c r="L283" t="str">
        <f>IF($J283=0,"",IF(INDEX('Прайс и заказ'!Q:Q,$J283)="","",INDEX('Прайс и заказ'!Q:Q,$J283)))</f>
      </c>
    </row>
    <row r="284" spans="1:12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заказ'!$N$7:$N$623,0)+6,0)</f>
      </c>
      <c r="L284" t="str">
        <f>IF($J284=0,"",IF(INDEX('Прайс и заказ'!Q:Q,$J284)="","",INDEX('Прайс и заказ'!Q:Q,$J284)))</f>
      </c>
    </row>
    <row r="285" spans="1:12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заказ'!$N$7:$N$623,0)+6,0)</f>
      </c>
      <c r="L285" t="str">
        <f>IF($J285=0,"",IF(INDEX('Прайс и заказ'!Q:Q,$J285)="","",INDEX('Прайс и заказ'!Q:Q,$J285)))</f>
      </c>
    </row>
    <row r="286" spans="1:12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заказ'!$N$7:$N$623,0)+6,0)</f>
      </c>
      <c r="L286" t="str">
        <f>IF($J286=0,"",IF(INDEX('Прайс и заказ'!Q:Q,$J286)="","",INDEX('Прайс и заказ'!Q:Q,$J286)))</f>
      </c>
    </row>
    <row r="287" spans="1:12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заказ'!$N$7:$N$623,0)+6,0)</f>
      </c>
      <c r="L287" t="str">
        <f>IF($J287=0,"",IF(INDEX('Прайс и заказ'!Q:Q,$J287)="","",INDEX('Прайс и заказ'!Q:Q,$J287)))</f>
      </c>
    </row>
    <row r="288" spans="1:12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заказ'!$N$7:$N$623,0)+6,0)</f>
      </c>
      <c r="L288" t="str">
        <f>IF($J288=0,"",IF(INDEX('Прайс и заказ'!Q:Q,$J288)="","",INDEX('Прайс и заказ'!Q:Q,$J288)))</f>
      </c>
    </row>
    <row r="289" spans="1:12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заказ'!$N$7:$N$623,0)+6,0)</f>
      </c>
      <c r="L289" t="str">
        <f>IF($J289=0,"",IF(INDEX('Прайс и заказ'!Q:Q,$J289)="","",INDEX('Прайс и заказ'!Q:Q,$J289)))</f>
      </c>
    </row>
    <row r="290" spans="1:12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заказ'!$N$7:$N$623,0)+6,0)</f>
      </c>
      <c r="L290" t="str">
        <f>IF($J290=0,"",IF(INDEX('Прайс и заказ'!Q:Q,$J290)="","",INDEX('Прайс и заказ'!Q:Q,$J290)))</f>
      </c>
    </row>
    <row r="291" spans="1:12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заказ'!$N$7:$N$623,0)+6,0)</f>
      </c>
      <c r="L291" t="str">
        <f>IF($J291=0,"",IF(INDEX('Прайс и заказ'!Q:Q,$J291)="","",INDEX('Прайс и заказ'!Q:Q,$J291)))</f>
      </c>
    </row>
    <row r="292" spans="1:12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заказ'!$N$7:$N$623,0)+6,0)</f>
      </c>
      <c r="L292" t="str">
        <f>IF($J292=0,"",IF(INDEX('Прайс и заказ'!Q:Q,$J292)="","",INDEX('Прайс и заказ'!Q:Q,$J292)))</f>
      </c>
    </row>
    <row r="293" spans="1:12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заказ'!$N$7:$N$623,0)+6,0)</f>
      </c>
      <c r="L293" t="str">
        <f>IF($J293=0,"",IF(INDEX('Прайс и заказ'!Q:Q,$J293)="","",INDEX('Прайс и заказ'!Q:Q,$J293)))</f>
      </c>
    </row>
    <row r="294" spans="1:12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заказ'!$N$7:$N$623,0)+6,0)</f>
      </c>
      <c r="L294" t="str">
        <f>IF($J294=0,"",IF(INDEX('Прайс и заказ'!Q:Q,$J294)="","",INDEX('Прайс и заказ'!Q:Q,$J294)))</f>
      </c>
    </row>
    <row r="295" spans="1:12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заказ'!$N$7:$N$623,0)+6,0)</f>
      </c>
      <c r="L295" t="str">
        <f>IF($J295=0,"",IF(INDEX('Прайс и заказ'!Q:Q,$J295)="","",INDEX('Прайс и заказ'!Q:Q,$J295)))</f>
      </c>
    </row>
    <row r="296" spans="1:12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заказ'!$N$7:$N$623,0)+6,0)</f>
      </c>
      <c r="L296" t="str">
        <f>IF($J296=0,"",IF(INDEX('Прайс и заказ'!Q:Q,$J296)="","",INDEX('Прайс и заказ'!Q:Q,$J296)))</f>
      </c>
    </row>
    <row r="297" spans="1:12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заказ'!$N$7:$N$623,0)+6,0)</f>
      </c>
      <c r="L297" t="str">
        <f>IF($J297=0,"",IF(INDEX('Прайс и заказ'!Q:Q,$J297)="","",INDEX('Прайс и заказ'!Q:Q,$J297)))</f>
      </c>
    </row>
    <row r="298" spans="1:12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заказ'!$N$7:$N$623,0)+6,0)</f>
      </c>
      <c r="L298" t="str">
        <f>IF($J298=0,"",IF(INDEX('Прайс и заказ'!Q:Q,$J298)="","",INDEX('Прайс и заказ'!Q:Q,$J298)))</f>
      </c>
    </row>
    <row r="299" spans="1:12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заказ'!$N$7:$N$623,0)+6,0)</f>
      </c>
      <c r="L299" t="str">
        <f>IF($J299=0,"",IF(INDEX('Прайс и заказ'!Q:Q,$J299)="","",INDEX('Прайс и заказ'!Q:Q,$J299)))</f>
      </c>
    </row>
    <row r="300" spans="1:12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заказ'!$N$7:$N$623,0)+6,0)</f>
      </c>
      <c r="L300" t="str">
        <f>IF($J300=0,"",IF(INDEX('Прайс и заказ'!Q:Q,$J300)="","",INDEX('Прайс и заказ'!Q:Q,$J300)))</f>
      </c>
    </row>
    <row r="301" spans="1:12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заказ'!$N$7:$N$623,0)+6,0)</f>
      </c>
      <c r="L301" t="str">
        <f>IF($J301=0,"",IF(INDEX('Прайс и заказ'!Q:Q,$J301)="","",INDEX('Прайс и заказ'!Q:Q,$J301)))</f>
      </c>
    </row>
    <row r="302" spans="1:12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заказ'!$N$7:$N$623,0)+6,0)</f>
      </c>
      <c r="L302" t="str">
        <f>IF($J302=0,"",IF(INDEX('Прайс и заказ'!Q:Q,$J302)="","",INDEX('Прайс и заказ'!Q:Q,$J302)))</f>
      </c>
    </row>
    <row r="303" spans="1:12" customHeight="1" ht="40">
      <c r="A303" s="13" t="str">
        <f>IF($J303=0,"",IFERROR(_xlfn.IMAGE(INDEX('Прайс и заказ'!$O:$O,$J303)),""))</f>
      </c>
      <c r="B303" s="61" t="str">
        <f>IF($J303=0,"",IF(INDEX('Прайс и заказ'!B:B,$J303)="","",INDEX('Прайс и заказ'!B:B,$J303)))</f>
      </c>
      <c r="C303" s="64" t="str">
        <f>IF($J303=0,"",IF(INDEX('Прайс и заказ'!C:C,$J303)="","",INDEX('Прайс и заказ'!C:C,$J303)))</f>
      </c>
      <c r="D303" s="64" t="str">
        <f>IF($J303=0,"",IF(INDEX('Прайс и заказ'!D:D,$J303)="","",INDEX('Прайс и заказ'!D:D,$J303)))</f>
      </c>
      <c r="E303" s="61" t="str">
        <f>IF($J303=0,"",IF(INDEX('Прайс и заказ'!F:F,$J303)="","",INDEX('Прайс и заказ'!F:F,$J303)))</f>
      </c>
      <c r="F303" s="62" t="str">
        <f>IF($J303=0,"",IF(INDEX('Прайс и заказ'!I:I,$J303)="","",INDEX('Прайс и заказ'!I:I,$J303)))</f>
      </c>
      <c r="G303" s="63" t="str">
        <f>IF($J303=0,"",IF(INDEX('Прайс и заказ'!K:K,$J303)="","",INDEX('Прайс и заказ'!K:K,$J303)))</f>
      </c>
      <c r="H303" s="62" t="str">
        <f>IF($J303=0,"",IF(INDEX('Прайс и заказ'!L:L,$J303)="","",INDEX('Прайс и заказ'!L:L,$J303)))</f>
      </c>
      <c r="I303" s="13" t="str">
        <f>IF($J303=0,"",IF(INDEX('Прайс и заказ'!M:M,$J303)="","",INDEX('Прайс и заказ'!M:M,$J303)))</f>
      </c>
      <c r="J303" t="str">
        <f>IFERROR(MATCH(295,'Прайс и заказ'!$N$7:$N$623,0)+6,0)</f>
      </c>
      <c r="L303" t="str">
        <f>IF($J303=0,"",IF(INDEX('Прайс и заказ'!Q:Q,$J303)="","",INDEX('Прайс и заказ'!Q:Q,$J303)))</f>
      </c>
    </row>
    <row r="304" spans="1:12" customHeight="1" ht="40">
      <c r="A304" s="13" t="str">
        <f>IF($J304=0,"",IFERROR(_xlfn.IMAGE(INDEX('Прайс и заказ'!$O:$O,$J304)),""))</f>
      </c>
      <c r="B304" s="61" t="str">
        <f>IF($J304=0,"",IF(INDEX('Прайс и заказ'!B:B,$J304)="","",INDEX('Прайс и заказ'!B:B,$J304)))</f>
      </c>
      <c r="C304" s="64" t="str">
        <f>IF($J304=0,"",IF(INDEX('Прайс и заказ'!C:C,$J304)="","",INDEX('Прайс и заказ'!C:C,$J304)))</f>
      </c>
      <c r="D304" s="64" t="str">
        <f>IF($J304=0,"",IF(INDEX('Прайс и заказ'!D:D,$J304)="","",INDEX('Прайс и заказ'!D:D,$J304)))</f>
      </c>
      <c r="E304" s="61" t="str">
        <f>IF($J304=0,"",IF(INDEX('Прайс и заказ'!F:F,$J304)="","",INDEX('Прайс и заказ'!F:F,$J304)))</f>
      </c>
      <c r="F304" s="62" t="str">
        <f>IF($J304=0,"",IF(INDEX('Прайс и заказ'!I:I,$J304)="","",INDEX('Прайс и заказ'!I:I,$J304)))</f>
      </c>
      <c r="G304" s="63" t="str">
        <f>IF($J304=0,"",IF(INDEX('Прайс и заказ'!K:K,$J304)="","",INDEX('Прайс и заказ'!K:K,$J304)))</f>
      </c>
      <c r="H304" s="62" t="str">
        <f>IF($J304=0,"",IF(INDEX('Прайс и заказ'!L:L,$J304)="","",INDEX('Прайс и заказ'!L:L,$J304)))</f>
      </c>
      <c r="I304" s="13" t="str">
        <f>IF($J304=0,"",IF(INDEX('Прайс и заказ'!M:M,$J304)="","",INDEX('Прайс и заказ'!M:M,$J304)))</f>
      </c>
      <c r="J304" t="str">
        <f>IFERROR(MATCH(296,'Прайс и заказ'!$N$7:$N$623,0)+6,0)</f>
      </c>
      <c r="L304" t="str">
        <f>IF($J304=0,"",IF(INDEX('Прайс и заказ'!Q:Q,$J304)="","",INDEX('Прайс и заказ'!Q:Q,$J304)))</f>
      </c>
    </row>
    <row r="305" spans="1:12" customHeight="1" ht="40">
      <c r="A305" s="13" t="str">
        <f>IF($J305=0,"",IFERROR(_xlfn.IMAGE(INDEX('Прайс и заказ'!$O:$O,$J305)),""))</f>
      </c>
      <c r="B305" s="61" t="str">
        <f>IF($J305=0,"",IF(INDEX('Прайс и заказ'!B:B,$J305)="","",INDEX('Прайс и заказ'!B:B,$J305)))</f>
      </c>
      <c r="C305" s="64" t="str">
        <f>IF($J305=0,"",IF(INDEX('Прайс и заказ'!C:C,$J305)="","",INDEX('Прайс и заказ'!C:C,$J305)))</f>
      </c>
      <c r="D305" s="64" t="str">
        <f>IF($J305=0,"",IF(INDEX('Прайс и заказ'!D:D,$J305)="","",INDEX('Прайс и заказ'!D:D,$J305)))</f>
      </c>
      <c r="E305" s="61" t="str">
        <f>IF($J305=0,"",IF(INDEX('Прайс и заказ'!F:F,$J305)="","",INDEX('Прайс и заказ'!F:F,$J305)))</f>
      </c>
      <c r="F305" s="62" t="str">
        <f>IF($J305=0,"",IF(INDEX('Прайс и заказ'!I:I,$J305)="","",INDEX('Прайс и заказ'!I:I,$J305)))</f>
      </c>
      <c r="G305" s="63" t="str">
        <f>IF($J305=0,"",IF(INDEX('Прайс и заказ'!K:K,$J305)="","",INDEX('Прайс и заказ'!K:K,$J305)))</f>
      </c>
      <c r="H305" s="62" t="str">
        <f>IF($J305=0,"",IF(INDEX('Прайс и заказ'!L:L,$J305)="","",INDEX('Прайс и заказ'!L:L,$J305)))</f>
      </c>
      <c r="I305" s="13" t="str">
        <f>IF($J305=0,"",IF(INDEX('Прайс и заказ'!M:M,$J305)="","",INDEX('Прайс и заказ'!M:M,$J305)))</f>
      </c>
      <c r="J305" t="str">
        <f>IFERROR(MATCH(297,'Прайс и заказ'!$N$7:$N$623,0)+6,0)</f>
      </c>
      <c r="L305" t="str">
        <f>IF($J305=0,"",IF(INDEX('Прайс и заказ'!Q:Q,$J305)="","",INDEX('Прайс и заказ'!Q:Q,$J305)))</f>
      </c>
    </row>
    <row r="306" spans="1:12" customHeight="1" ht="40">
      <c r="A306" s="13" t="str">
        <f>IF($J306=0,"",IFERROR(_xlfn.IMAGE(INDEX('Прайс и заказ'!$O:$O,$J306)),""))</f>
      </c>
      <c r="B306" s="61" t="str">
        <f>IF($J306=0,"",IF(INDEX('Прайс и заказ'!B:B,$J306)="","",INDEX('Прайс и заказ'!B:B,$J306)))</f>
      </c>
      <c r="C306" s="64" t="str">
        <f>IF($J306=0,"",IF(INDEX('Прайс и заказ'!C:C,$J306)="","",INDEX('Прайс и заказ'!C:C,$J306)))</f>
      </c>
      <c r="D306" s="64" t="str">
        <f>IF($J306=0,"",IF(INDEX('Прайс и заказ'!D:D,$J306)="","",INDEX('Прайс и заказ'!D:D,$J306)))</f>
      </c>
      <c r="E306" s="61" t="str">
        <f>IF($J306=0,"",IF(INDEX('Прайс и заказ'!F:F,$J306)="","",INDEX('Прайс и заказ'!F:F,$J306)))</f>
      </c>
      <c r="F306" s="62" t="str">
        <f>IF($J306=0,"",IF(INDEX('Прайс и заказ'!I:I,$J306)="","",INDEX('Прайс и заказ'!I:I,$J306)))</f>
      </c>
      <c r="G306" s="63" t="str">
        <f>IF($J306=0,"",IF(INDEX('Прайс и заказ'!K:K,$J306)="","",INDEX('Прайс и заказ'!K:K,$J306)))</f>
      </c>
      <c r="H306" s="62" t="str">
        <f>IF($J306=0,"",IF(INDEX('Прайс и заказ'!L:L,$J306)="","",INDEX('Прайс и заказ'!L:L,$J306)))</f>
      </c>
      <c r="I306" s="13" t="str">
        <f>IF($J306=0,"",IF(INDEX('Прайс и заказ'!M:M,$J306)="","",INDEX('Прайс и заказ'!M:M,$J306)))</f>
      </c>
      <c r="J306" t="str">
        <f>IFERROR(MATCH(298,'Прайс и заказ'!$N$7:$N$623,0)+6,0)</f>
      </c>
      <c r="L306" t="str">
        <f>IF($J306=0,"",IF(INDEX('Прайс и заказ'!Q:Q,$J306)="","",INDEX('Прайс и заказ'!Q:Q,$J306)))</f>
      </c>
    </row>
    <row r="307" spans="1:12" customHeight="1" ht="40">
      <c r="A307" s="13" t="str">
        <f>IF($J307=0,"",IFERROR(_xlfn.IMAGE(INDEX('Прайс и заказ'!$O:$O,$J307)),""))</f>
      </c>
      <c r="B307" s="61" t="str">
        <f>IF($J307=0,"",IF(INDEX('Прайс и заказ'!B:B,$J307)="","",INDEX('Прайс и заказ'!B:B,$J307)))</f>
      </c>
      <c r="C307" s="64" t="str">
        <f>IF($J307=0,"",IF(INDEX('Прайс и заказ'!C:C,$J307)="","",INDEX('Прайс и заказ'!C:C,$J307)))</f>
      </c>
      <c r="D307" s="64" t="str">
        <f>IF($J307=0,"",IF(INDEX('Прайс и заказ'!D:D,$J307)="","",INDEX('Прайс и заказ'!D:D,$J307)))</f>
      </c>
      <c r="E307" s="61" t="str">
        <f>IF($J307=0,"",IF(INDEX('Прайс и заказ'!F:F,$J307)="","",INDEX('Прайс и заказ'!F:F,$J307)))</f>
      </c>
      <c r="F307" s="62" t="str">
        <f>IF($J307=0,"",IF(INDEX('Прайс и заказ'!I:I,$J307)="","",INDEX('Прайс и заказ'!I:I,$J307)))</f>
      </c>
      <c r="G307" s="63" t="str">
        <f>IF($J307=0,"",IF(INDEX('Прайс и заказ'!K:K,$J307)="","",INDEX('Прайс и заказ'!K:K,$J307)))</f>
      </c>
      <c r="H307" s="62" t="str">
        <f>IF($J307=0,"",IF(INDEX('Прайс и заказ'!L:L,$J307)="","",INDEX('Прайс и заказ'!L:L,$J307)))</f>
      </c>
      <c r="I307" s="13" t="str">
        <f>IF($J307=0,"",IF(INDEX('Прайс и заказ'!M:M,$J307)="","",INDEX('Прайс и заказ'!M:M,$J307)))</f>
      </c>
      <c r="J307" t="str">
        <f>IFERROR(MATCH(299,'Прайс и заказ'!$N$7:$N$623,0)+6,0)</f>
      </c>
      <c r="L307" t="str">
        <f>IF($J307=0,"",IF(INDEX('Прайс и заказ'!Q:Q,$J307)="","",INDEX('Прайс и заказ'!Q:Q,$J307)))</f>
      </c>
    </row>
    <row r="308" spans="1:12" customHeight="1" ht="40">
      <c r="A308" s="13" t="str">
        <f>IF($J308=0,"",IFERROR(_xlfn.IMAGE(INDEX('Прайс и заказ'!$O:$O,$J308)),""))</f>
      </c>
      <c r="B308" s="61" t="str">
        <f>IF($J308=0,"",IF(INDEX('Прайс и заказ'!B:B,$J308)="","",INDEX('Прайс и заказ'!B:B,$J308)))</f>
      </c>
      <c r="C308" s="64" t="str">
        <f>IF($J308=0,"",IF(INDEX('Прайс и заказ'!C:C,$J308)="","",INDEX('Прайс и заказ'!C:C,$J308)))</f>
      </c>
      <c r="D308" s="64" t="str">
        <f>IF($J308=0,"",IF(INDEX('Прайс и заказ'!D:D,$J308)="","",INDEX('Прайс и заказ'!D:D,$J308)))</f>
      </c>
      <c r="E308" s="61" t="str">
        <f>IF($J308=0,"",IF(INDEX('Прайс и заказ'!F:F,$J308)="","",INDEX('Прайс и заказ'!F:F,$J308)))</f>
      </c>
      <c r="F308" s="62" t="str">
        <f>IF($J308=0,"",IF(INDEX('Прайс и заказ'!I:I,$J308)="","",INDEX('Прайс и заказ'!I:I,$J308)))</f>
      </c>
      <c r="G308" s="63" t="str">
        <f>IF($J308=0,"",IF(INDEX('Прайс и заказ'!K:K,$J308)="","",INDEX('Прайс и заказ'!K:K,$J308)))</f>
      </c>
      <c r="H308" s="62" t="str">
        <f>IF($J308=0,"",IF(INDEX('Прайс и заказ'!L:L,$J308)="","",INDEX('Прайс и заказ'!L:L,$J308)))</f>
      </c>
      <c r="I308" s="13" t="str">
        <f>IF($J308=0,"",IF(INDEX('Прайс и заказ'!M:M,$J308)="","",INDEX('Прайс и заказ'!M:M,$J308)))</f>
      </c>
      <c r="J308" t="str">
        <f>IFERROR(MATCH(300,'Прайс и заказ'!$N$7:$N$623,0)+6,0)</f>
      </c>
      <c r="L308" t="str">
        <f>IF($J308=0,"",IF(INDEX('Прайс и заказ'!Q:Q,$J308)="","",INDEX('Прайс и заказ'!Q:Q,$J308)))</f>
      </c>
    </row>
    <row r="309" spans="1:12" customHeight="1" ht="40">
      <c r="A309" s="13" t="str">
        <f>IF($J309=0,"",IFERROR(_xlfn.IMAGE(INDEX('Прайс и заказ'!$O:$O,$J309)),""))</f>
      </c>
      <c r="B309" s="61" t="str">
        <f>IF($J309=0,"",IF(INDEX('Прайс и заказ'!B:B,$J309)="","",INDEX('Прайс и заказ'!B:B,$J309)))</f>
      </c>
      <c r="C309" s="64" t="str">
        <f>IF($J309=0,"",IF(INDEX('Прайс и заказ'!C:C,$J309)="","",INDEX('Прайс и заказ'!C:C,$J309)))</f>
      </c>
      <c r="D309" s="64" t="str">
        <f>IF($J309=0,"",IF(INDEX('Прайс и заказ'!D:D,$J309)="","",INDEX('Прайс и заказ'!D:D,$J309)))</f>
      </c>
      <c r="E309" s="61" t="str">
        <f>IF($J309=0,"",IF(INDEX('Прайс и заказ'!F:F,$J309)="","",INDEX('Прайс и заказ'!F:F,$J309)))</f>
      </c>
      <c r="F309" s="62" t="str">
        <f>IF($J309=0,"",IF(INDEX('Прайс и заказ'!I:I,$J309)="","",INDEX('Прайс и заказ'!I:I,$J309)))</f>
      </c>
      <c r="G309" s="63" t="str">
        <f>IF($J309=0,"",IF(INDEX('Прайс и заказ'!K:K,$J309)="","",INDEX('Прайс и заказ'!K:K,$J309)))</f>
      </c>
      <c r="H309" s="62" t="str">
        <f>IF($J309=0,"",IF(INDEX('Прайс и заказ'!L:L,$J309)="","",INDEX('Прайс и заказ'!L:L,$J309)))</f>
      </c>
      <c r="I309" s="13" t="str">
        <f>IF($J309=0,"",IF(INDEX('Прайс и заказ'!M:M,$J309)="","",INDEX('Прайс и заказ'!M:M,$J309)))</f>
      </c>
      <c r="J309" t="str">
        <f>IFERROR(MATCH(301,'Прайс и заказ'!$N$7:$N$623,0)+6,0)</f>
      </c>
      <c r="L309" t="str">
        <f>IF($J309=0,"",IF(INDEX('Прайс и заказ'!Q:Q,$J309)="","",INDEX('Прайс и заказ'!Q:Q,$J309)))</f>
      </c>
    </row>
    <row r="310" spans="1:12" customHeight="1" ht="40">
      <c r="A310" s="13" t="str">
        <f>IF($J310=0,"",IFERROR(_xlfn.IMAGE(INDEX('Прайс и заказ'!$O:$O,$J310)),""))</f>
      </c>
      <c r="B310" s="61" t="str">
        <f>IF($J310=0,"",IF(INDEX('Прайс и заказ'!B:B,$J310)="","",INDEX('Прайс и заказ'!B:B,$J310)))</f>
      </c>
      <c r="C310" s="64" t="str">
        <f>IF($J310=0,"",IF(INDEX('Прайс и заказ'!C:C,$J310)="","",INDEX('Прайс и заказ'!C:C,$J310)))</f>
      </c>
      <c r="D310" s="64" t="str">
        <f>IF($J310=0,"",IF(INDEX('Прайс и заказ'!D:D,$J310)="","",INDEX('Прайс и заказ'!D:D,$J310)))</f>
      </c>
      <c r="E310" s="61" t="str">
        <f>IF($J310=0,"",IF(INDEX('Прайс и заказ'!F:F,$J310)="","",INDEX('Прайс и заказ'!F:F,$J310)))</f>
      </c>
      <c r="F310" s="62" t="str">
        <f>IF($J310=0,"",IF(INDEX('Прайс и заказ'!I:I,$J310)="","",INDEX('Прайс и заказ'!I:I,$J310)))</f>
      </c>
      <c r="G310" s="63" t="str">
        <f>IF($J310=0,"",IF(INDEX('Прайс и заказ'!K:K,$J310)="","",INDEX('Прайс и заказ'!K:K,$J310)))</f>
      </c>
      <c r="H310" s="62" t="str">
        <f>IF($J310=0,"",IF(INDEX('Прайс и заказ'!L:L,$J310)="","",INDEX('Прайс и заказ'!L:L,$J310)))</f>
      </c>
      <c r="I310" s="13" t="str">
        <f>IF($J310=0,"",IF(INDEX('Прайс и заказ'!M:M,$J310)="","",INDEX('Прайс и заказ'!M:M,$J310)))</f>
      </c>
      <c r="J310" t="str">
        <f>IFERROR(MATCH(302,'Прайс и заказ'!$N$7:$N$623,0)+6,0)</f>
      </c>
      <c r="L310" t="str">
        <f>IF($J310=0,"",IF(INDEX('Прайс и заказ'!Q:Q,$J310)="","",INDEX('Прайс и заказ'!Q:Q,$J310)))</f>
      </c>
    </row>
    <row r="311" spans="1:12" customHeight="1" ht="40">
      <c r="A311" s="13" t="str">
        <f>IF($J311=0,"",IFERROR(_xlfn.IMAGE(INDEX('Прайс и заказ'!$O:$O,$J311)),""))</f>
      </c>
      <c r="B311" s="61" t="str">
        <f>IF($J311=0,"",IF(INDEX('Прайс и заказ'!B:B,$J311)="","",INDEX('Прайс и заказ'!B:B,$J311)))</f>
      </c>
      <c r="C311" s="64" t="str">
        <f>IF($J311=0,"",IF(INDEX('Прайс и заказ'!C:C,$J311)="","",INDEX('Прайс и заказ'!C:C,$J311)))</f>
      </c>
      <c r="D311" s="64" t="str">
        <f>IF($J311=0,"",IF(INDEX('Прайс и заказ'!D:D,$J311)="","",INDEX('Прайс и заказ'!D:D,$J311)))</f>
      </c>
      <c r="E311" s="61" t="str">
        <f>IF($J311=0,"",IF(INDEX('Прайс и заказ'!F:F,$J311)="","",INDEX('Прайс и заказ'!F:F,$J311)))</f>
      </c>
      <c r="F311" s="62" t="str">
        <f>IF($J311=0,"",IF(INDEX('Прайс и заказ'!I:I,$J311)="","",INDEX('Прайс и заказ'!I:I,$J311)))</f>
      </c>
      <c r="G311" s="63" t="str">
        <f>IF($J311=0,"",IF(INDEX('Прайс и заказ'!K:K,$J311)="","",INDEX('Прайс и заказ'!K:K,$J311)))</f>
      </c>
      <c r="H311" s="62" t="str">
        <f>IF($J311=0,"",IF(INDEX('Прайс и заказ'!L:L,$J311)="","",INDEX('Прайс и заказ'!L:L,$J311)))</f>
      </c>
      <c r="I311" s="13" t="str">
        <f>IF($J311=0,"",IF(INDEX('Прайс и заказ'!M:M,$J311)="","",INDEX('Прайс и заказ'!M:M,$J311)))</f>
      </c>
      <c r="J311" t="str">
        <f>IFERROR(MATCH(303,'Прайс и заказ'!$N$7:$N$623,0)+6,0)</f>
      </c>
      <c r="L311" t="str">
        <f>IF($J311=0,"",IF(INDEX('Прайс и заказ'!Q:Q,$J311)="","",INDEX('Прайс и заказ'!Q:Q,$J311)))</f>
      </c>
    </row>
    <row r="312" spans="1:12" customHeight="1" ht="40">
      <c r="A312" s="13" t="str">
        <f>IF($J312=0,"",IFERROR(_xlfn.IMAGE(INDEX('Прайс и заказ'!$O:$O,$J312)),""))</f>
      </c>
      <c r="B312" s="61" t="str">
        <f>IF($J312=0,"",IF(INDEX('Прайс и заказ'!B:B,$J312)="","",INDEX('Прайс и заказ'!B:B,$J312)))</f>
      </c>
      <c r="C312" s="64" t="str">
        <f>IF($J312=0,"",IF(INDEX('Прайс и заказ'!C:C,$J312)="","",INDEX('Прайс и заказ'!C:C,$J312)))</f>
      </c>
      <c r="D312" s="64" t="str">
        <f>IF($J312=0,"",IF(INDEX('Прайс и заказ'!D:D,$J312)="","",INDEX('Прайс и заказ'!D:D,$J312)))</f>
      </c>
      <c r="E312" s="61" t="str">
        <f>IF($J312=0,"",IF(INDEX('Прайс и заказ'!F:F,$J312)="","",INDEX('Прайс и заказ'!F:F,$J312)))</f>
      </c>
      <c r="F312" s="62" t="str">
        <f>IF($J312=0,"",IF(INDEX('Прайс и заказ'!I:I,$J312)="","",INDEX('Прайс и заказ'!I:I,$J312)))</f>
      </c>
      <c r="G312" s="63" t="str">
        <f>IF($J312=0,"",IF(INDEX('Прайс и заказ'!K:K,$J312)="","",INDEX('Прайс и заказ'!K:K,$J312)))</f>
      </c>
      <c r="H312" s="62" t="str">
        <f>IF($J312=0,"",IF(INDEX('Прайс и заказ'!L:L,$J312)="","",INDEX('Прайс и заказ'!L:L,$J312)))</f>
      </c>
      <c r="I312" s="13" t="str">
        <f>IF($J312=0,"",IF(INDEX('Прайс и заказ'!M:M,$J312)="","",INDEX('Прайс и заказ'!M:M,$J312)))</f>
      </c>
      <c r="J312" t="str">
        <f>IFERROR(MATCH(304,'Прайс и заказ'!$N$7:$N$623,0)+6,0)</f>
      </c>
      <c r="L312" t="str">
        <f>IF($J312=0,"",IF(INDEX('Прайс и заказ'!Q:Q,$J312)="","",INDEX('Прайс и заказ'!Q:Q,$J312)))</f>
      </c>
    </row>
    <row r="313" spans="1:12" customHeight="1" ht="40">
      <c r="A313" s="13" t="str">
        <f>IF($J313=0,"",IFERROR(_xlfn.IMAGE(INDEX('Прайс и заказ'!$O:$O,$J313)),""))</f>
      </c>
      <c r="B313" s="61" t="str">
        <f>IF($J313=0,"",IF(INDEX('Прайс и заказ'!B:B,$J313)="","",INDEX('Прайс и заказ'!B:B,$J313)))</f>
      </c>
      <c r="C313" s="64" t="str">
        <f>IF($J313=0,"",IF(INDEX('Прайс и заказ'!C:C,$J313)="","",INDEX('Прайс и заказ'!C:C,$J313)))</f>
      </c>
      <c r="D313" s="64" t="str">
        <f>IF($J313=0,"",IF(INDEX('Прайс и заказ'!D:D,$J313)="","",INDEX('Прайс и заказ'!D:D,$J313)))</f>
      </c>
      <c r="E313" s="61" t="str">
        <f>IF($J313=0,"",IF(INDEX('Прайс и заказ'!F:F,$J313)="","",INDEX('Прайс и заказ'!F:F,$J313)))</f>
      </c>
      <c r="F313" s="62" t="str">
        <f>IF($J313=0,"",IF(INDEX('Прайс и заказ'!I:I,$J313)="","",INDEX('Прайс и заказ'!I:I,$J313)))</f>
      </c>
      <c r="G313" s="63" t="str">
        <f>IF($J313=0,"",IF(INDEX('Прайс и заказ'!K:K,$J313)="","",INDEX('Прайс и заказ'!K:K,$J313)))</f>
      </c>
      <c r="H313" s="62" t="str">
        <f>IF($J313=0,"",IF(INDEX('Прайс и заказ'!L:L,$J313)="","",INDEX('Прайс и заказ'!L:L,$J313)))</f>
      </c>
      <c r="I313" s="13" t="str">
        <f>IF($J313=0,"",IF(INDEX('Прайс и заказ'!M:M,$J313)="","",INDEX('Прайс и заказ'!M:M,$J313)))</f>
      </c>
      <c r="J313" t="str">
        <f>IFERROR(MATCH(305,'Прайс и заказ'!$N$7:$N$623,0)+6,0)</f>
      </c>
      <c r="L313" t="str">
        <f>IF($J313=0,"",IF(INDEX('Прайс и заказ'!Q:Q,$J313)="","",INDEX('Прайс и заказ'!Q:Q,$J313)))</f>
      </c>
    </row>
    <row r="314" spans="1:12" customHeight="1" ht="40">
      <c r="A314" s="13" t="str">
        <f>IF($J314=0,"",IFERROR(_xlfn.IMAGE(INDEX('Прайс и заказ'!$O:$O,$J314)),""))</f>
      </c>
      <c r="B314" s="61" t="str">
        <f>IF($J314=0,"",IF(INDEX('Прайс и заказ'!B:B,$J314)="","",INDEX('Прайс и заказ'!B:B,$J314)))</f>
      </c>
      <c r="C314" s="64" t="str">
        <f>IF($J314=0,"",IF(INDEX('Прайс и заказ'!C:C,$J314)="","",INDEX('Прайс и заказ'!C:C,$J314)))</f>
      </c>
      <c r="D314" s="64" t="str">
        <f>IF($J314=0,"",IF(INDEX('Прайс и заказ'!D:D,$J314)="","",INDEX('Прайс и заказ'!D:D,$J314)))</f>
      </c>
      <c r="E314" s="61" t="str">
        <f>IF($J314=0,"",IF(INDEX('Прайс и заказ'!F:F,$J314)="","",INDEX('Прайс и заказ'!F:F,$J314)))</f>
      </c>
      <c r="F314" s="62" t="str">
        <f>IF($J314=0,"",IF(INDEX('Прайс и заказ'!I:I,$J314)="","",INDEX('Прайс и заказ'!I:I,$J314)))</f>
      </c>
      <c r="G314" s="63" t="str">
        <f>IF($J314=0,"",IF(INDEX('Прайс и заказ'!K:K,$J314)="","",INDEX('Прайс и заказ'!K:K,$J314)))</f>
      </c>
      <c r="H314" s="62" t="str">
        <f>IF($J314=0,"",IF(INDEX('Прайс и заказ'!L:L,$J314)="","",INDEX('Прайс и заказ'!L:L,$J314)))</f>
      </c>
      <c r="I314" s="13" t="str">
        <f>IF($J314=0,"",IF(INDEX('Прайс и заказ'!M:M,$J314)="","",INDEX('Прайс и заказ'!M:M,$J314)))</f>
      </c>
      <c r="J314" t="str">
        <f>IFERROR(MATCH(306,'Прайс и заказ'!$N$7:$N$623,0)+6,0)</f>
      </c>
      <c r="L314" t="str">
        <f>IF($J314=0,"",IF(INDEX('Прайс и заказ'!Q:Q,$J314)="","",INDEX('Прайс и заказ'!Q:Q,$J314)))</f>
      </c>
    </row>
    <row r="315" spans="1:12" customHeight="1" ht="40">
      <c r="A315" s="13" t="str">
        <f>IF($J315=0,"",IFERROR(_xlfn.IMAGE(INDEX('Прайс и заказ'!$O:$O,$J315)),""))</f>
      </c>
      <c r="B315" s="61" t="str">
        <f>IF($J315=0,"",IF(INDEX('Прайс и заказ'!B:B,$J315)="","",INDEX('Прайс и заказ'!B:B,$J315)))</f>
      </c>
      <c r="C315" s="64" t="str">
        <f>IF($J315=0,"",IF(INDEX('Прайс и заказ'!C:C,$J315)="","",INDEX('Прайс и заказ'!C:C,$J315)))</f>
      </c>
      <c r="D315" s="64" t="str">
        <f>IF($J315=0,"",IF(INDEX('Прайс и заказ'!D:D,$J315)="","",INDEX('Прайс и заказ'!D:D,$J315)))</f>
      </c>
      <c r="E315" s="61" t="str">
        <f>IF($J315=0,"",IF(INDEX('Прайс и заказ'!F:F,$J315)="","",INDEX('Прайс и заказ'!F:F,$J315)))</f>
      </c>
      <c r="F315" s="62" t="str">
        <f>IF($J315=0,"",IF(INDEX('Прайс и заказ'!I:I,$J315)="","",INDEX('Прайс и заказ'!I:I,$J315)))</f>
      </c>
      <c r="G315" s="63" t="str">
        <f>IF($J315=0,"",IF(INDEX('Прайс и заказ'!K:K,$J315)="","",INDEX('Прайс и заказ'!K:K,$J315)))</f>
      </c>
      <c r="H315" s="62" t="str">
        <f>IF($J315=0,"",IF(INDEX('Прайс и заказ'!L:L,$J315)="","",INDEX('Прайс и заказ'!L:L,$J315)))</f>
      </c>
      <c r="I315" s="13" t="str">
        <f>IF($J315=0,"",IF(INDEX('Прайс и заказ'!M:M,$J315)="","",INDEX('Прайс и заказ'!M:M,$J315)))</f>
      </c>
      <c r="J315" t="str">
        <f>IFERROR(MATCH(307,'Прайс и заказ'!$N$7:$N$623,0)+6,0)</f>
      </c>
      <c r="L315" t="str">
        <f>IF($J315=0,"",IF(INDEX('Прайс и заказ'!Q:Q,$J315)="","",INDEX('Прайс и заказ'!Q:Q,$J315)))</f>
      </c>
    </row>
    <row r="316" spans="1:12" customHeight="1" ht="40">
      <c r="A316" s="13" t="str">
        <f>IF($J316=0,"",IFERROR(_xlfn.IMAGE(INDEX('Прайс и заказ'!$O:$O,$J316)),""))</f>
      </c>
      <c r="B316" s="61" t="str">
        <f>IF($J316=0,"",IF(INDEX('Прайс и заказ'!B:B,$J316)="","",INDEX('Прайс и заказ'!B:B,$J316)))</f>
      </c>
      <c r="C316" s="64" t="str">
        <f>IF($J316=0,"",IF(INDEX('Прайс и заказ'!C:C,$J316)="","",INDEX('Прайс и заказ'!C:C,$J316)))</f>
      </c>
      <c r="D316" s="64" t="str">
        <f>IF($J316=0,"",IF(INDEX('Прайс и заказ'!D:D,$J316)="","",INDEX('Прайс и заказ'!D:D,$J316)))</f>
      </c>
      <c r="E316" s="61" t="str">
        <f>IF($J316=0,"",IF(INDEX('Прайс и заказ'!F:F,$J316)="","",INDEX('Прайс и заказ'!F:F,$J316)))</f>
      </c>
      <c r="F316" s="62" t="str">
        <f>IF($J316=0,"",IF(INDEX('Прайс и заказ'!I:I,$J316)="","",INDEX('Прайс и заказ'!I:I,$J316)))</f>
      </c>
      <c r="G316" s="63" t="str">
        <f>IF($J316=0,"",IF(INDEX('Прайс и заказ'!K:K,$J316)="","",INDEX('Прайс и заказ'!K:K,$J316)))</f>
      </c>
      <c r="H316" s="62" t="str">
        <f>IF($J316=0,"",IF(INDEX('Прайс и заказ'!L:L,$J316)="","",INDEX('Прайс и заказ'!L:L,$J316)))</f>
      </c>
      <c r="I316" s="13" t="str">
        <f>IF($J316=0,"",IF(INDEX('Прайс и заказ'!M:M,$J316)="","",INDEX('Прайс и заказ'!M:M,$J316)))</f>
      </c>
      <c r="J316" t="str">
        <f>IFERROR(MATCH(308,'Прайс и заказ'!$N$7:$N$623,0)+6,0)</f>
      </c>
      <c r="L316" t="str">
        <f>IF($J316=0,"",IF(INDEX('Прайс и заказ'!Q:Q,$J316)="","",INDEX('Прайс и заказ'!Q:Q,$J316)))</f>
      </c>
    </row>
    <row r="317" spans="1:12" customHeight="1" ht="40">
      <c r="A317" s="13" t="str">
        <f>IF($J317=0,"",IFERROR(_xlfn.IMAGE(INDEX('Прайс и заказ'!$O:$O,$J317)),""))</f>
      </c>
      <c r="B317" s="61" t="str">
        <f>IF($J317=0,"",IF(INDEX('Прайс и заказ'!B:B,$J317)="","",INDEX('Прайс и заказ'!B:B,$J317)))</f>
      </c>
      <c r="C317" s="64" t="str">
        <f>IF($J317=0,"",IF(INDEX('Прайс и заказ'!C:C,$J317)="","",INDEX('Прайс и заказ'!C:C,$J317)))</f>
      </c>
      <c r="D317" s="64" t="str">
        <f>IF($J317=0,"",IF(INDEX('Прайс и заказ'!D:D,$J317)="","",INDEX('Прайс и заказ'!D:D,$J317)))</f>
      </c>
      <c r="E317" s="61" t="str">
        <f>IF($J317=0,"",IF(INDEX('Прайс и заказ'!F:F,$J317)="","",INDEX('Прайс и заказ'!F:F,$J317)))</f>
      </c>
      <c r="F317" s="62" t="str">
        <f>IF($J317=0,"",IF(INDEX('Прайс и заказ'!I:I,$J317)="","",INDEX('Прайс и заказ'!I:I,$J317)))</f>
      </c>
      <c r="G317" s="63" t="str">
        <f>IF($J317=0,"",IF(INDEX('Прайс и заказ'!K:K,$J317)="","",INDEX('Прайс и заказ'!K:K,$J317)))</f>
      </c>
      <c r="H317" s="62" t="str">
        <f>IF($J317=0,"",IF(INDEX('Прайс и заказ'!L:L,$J317)="","",INDEX('Прайс и заказ'!L:L,$J317)))</f>
      </c>
      <c r="I317" s="13" t="str">
        <f>IF($J317=0,"",IF(INDEX('Прайс и заказ'!M:M,$J317)="","",INDEX('Прайс и заказ'!M:M,$J317)))</f>
      </c>
      <c r="J317" t="str">
        <f>IFERROR(MATCH(309,'Прайс и заказ'!$N$7:$N$623,0)+6,0)</f>
      </c>
      <c r="L317" t="str">
        <f>IF($J317=0,"",IF(INDEX('Прайс и заказ'!Q:Q,$J317)="","",INDEX('Прайс и заказ'!Q:Q,$J317)))</f>
      </c>
    </row>
    <row r="318" spans="1:12" customHeight="1" ht="40">
      <c r="A318" s="13" t="str">
        <f>IF($J318=0,"",IFERROR(_xlfn.IMAGE(INDEX('Прайс и заказ'!$O:$O,$J318)),""))</f>
      </c>
      <c r="B318" s="61" t="str">
        <f>IF($J318=0,"",IF(INDEX('Прайс и заказ'!B:B,$J318)="","",INDEX('Прайс и заказ'!B:B,$J318)))</f>
      </c>
      <c r="C318" s="64" t="str">
        <f>IF($J318=0,"",IF(INDEX('Прайс и заказ'!C:C,$J318)="","",INDEX('Прайс и заказ'!C:C,$J318)))</f>
      </c>
      <c r="D318" s="64" t="str">
        <f>IF($J318=0,"",IF(INDEX('Прайс и заказ'!D:D,$J318)="","",INDEX('Прайс и заказ'!D:D,$J318)))</f>
      </c>
      <c r="E318" s="61" t="str">
        <f>IF($J318=0,"",IF(INDEX('Прайс и заказ'!F:F,$J318)="","",INDEX('Прайс и заказ'!F:F,$J318)))</f>
      </c>
      <c r="F318" s="62" t="str">
        <f>IF($J318=0,"",IF(INDEX('Прайс и заказ'!I:I,$J318)="","",INDEX('Прайс и заказ'!I:I,$J318)))</f>
      </c>
      <c r="G318" s="63" t="str">
        <f>IF($J318=0,"",IF(INDEX('Прайс и заказ'!K:K,$J318)="","",INDEX('Прайс и заказ'!K:K,$J318)))</f>
      </c>
      <c r="H318" s="62" t="str">
        <f>IF($J318=0,"",IF(INDEX('Прайс и заказ'!L:L,$J318)="","",INDEX('Прайс и заказ'!L:L,$J318)))</f>
      </c>
      <c r="I318" s="13" t="str">
        <f>IF($J318=0,"",IF(INDEX('Прайс и заказ'!M:M,$J318)="","",INDEX('Прайс и заказ'!M:M,$J318)))</f>
      </c>
      <c r="J318" t="str">
        <f>IFERROR(MATCH(310,'Прайс и заказ'!$N$7:$N$623,0)+6,0)</f>
      </c>
      <c r="L318" t="str">
        <f>IF($J318=0,"",IF(INDEX('Прайс и заказ'!Q:Q,$J318)="","",INDEX('Прайс и заказ'!Q:Q,$J318)))</f>
      </c>
    </row>
    <row r="319" spans="1:12" customHeight="1" ht="40">
      <c r="A319" s="13" t="str">
        <f>IF($J319=0,"",IFERROR(_xlfn.IMAGE(INDEX('Прайс и заказ'!$O:$O,$J319)),""))</f>
      </c>
      <c r="B319" s="61" t="str">
        <f>IF($J319=0,"",IF(INDEX('Прайс и заказ'!B:B,$J319)="","",INDEX('Прайс и заказ'!B:B,$J319)))</f>
      </c>
      <c r="C319" s="64" t="str">
        <f>IF($J319=0,"",IF(INDEX('Прайс и заказ'!C:C,$J319)="","",INDEX('Прайс и заказ'!C:C,$J319)))</f>
      </c>
      <c r="D319" s="64" t="str">
        <f>IF($J319=0,"",IF(INDEX('Прайс и заказ'!D:D,$J319)="","",INDEX('Прайс и заказ'!D:D,$J319)))</f>
      </c>
      <c r="E319" s="61" t="str">
        <f>IF($J319=0,"",IF(INDEX('Прайс и заказ'!F:F,$J319)="","",INDEX('Прайс и заказ'!F:F,$J319)))</f>
      </c>
      <c r="F319" s="62" t="str">
        <f>IF($J319=0,"",IF(INDEX('Прайс и заказ'!I:I,$J319)="","",INDEX('Прайс и заказ'!I:I,$J319)))</f>
      </c>
      <c r="G319" s="63" t="str">
        <f>IF($J319=0,"",IF(INDEX('Прайс и заказ'!K:K,$J319)="","",INDEX('Прайс и заказ'!K:K,$J319)))</f>
      </c>
      <c r="H319" s="62" t="str">
        <f>IF($J319=0,"",IF(INDEX('Прайс и заказ'!L:L,$J319)="","",INDEX('Прайс и заказ'!L:L,$J319)))</f>
      </c>
      <c r="I319" s="13" t="str">
        <f>IF($J319=0,"",IF(INDEX('Прайс и заказ'!M:M,$J319)="","",INDEX('Прайс и заказ'!M:M,$J319)))</f>
      </c>
      <c r="J319" t="str">
        <f>IFERROR(MATCH(311,'Прайс и заказ'!$N$7:$N$623,0)+6,0)</f>
      </c>
      <c r="L319" t="str">
        <f>IF($J319=0,"",IF(INDEX('Прайс и заказ'!Q:Q,$J319)="","",INDEX('Прайс и заказ'!Q:Q,$J319)))</f>
      </c>
    </row>
    <row r="320" spans="1:12" customHeight="1" ht="40">
      <c r="A320" s="13" t="str">
        <f>IF($J320=0,"",IFERROR(_xlfn.IMAGE(INDEX('Прайс и заказ'!$O:$O,$J320)),""))</f>
      </c>
      <c r="B320" s="61" t="str">
        <f>IF($J320=0,"",IF(INDEX('Прайс и заказ'!B:B,$J320)="","",INDEX('Прайс и заказ'!B:B,$J320)))</f>
      </c>
      <c r="C320" s="64" t="str">
        <f>IF($J320=0,"",IF(INDEX('Прайс и заказ'!C:C,$J320)="","",INDEX('Прайс и заказ'!C:C,$J320)))</f>
      </c>
      <c r="D320" s="64" t="str">
        <f>IF($J320=0,"",IF(INDEX('Прайс и заказ'!D:D,$J320)="","",INDEX('Прайс и заказ'!D:D,$J320)))</f>
      </c>
      <c r="E320" s="61" t="str">
        <f>IF($J320=0,"",IF(INDEX('Прайс и заказ'!F:F,$J320)="","",INDEX('Прайс и заказ'!F:F,$J320)))</f>
      </c>
      <c r="F320" s="62" t="str">
        <f>IF($J320=0,"",IF(INDEX('Прайс и заказ'!I:I,$J320)="","",INDEX('Прайс и заказ'!I:I,$J320)))</f>
      </c>
      <c r="G320" s="63" t="str">
        <f>IF($J320=0,"",IF(INDEX('Прайс и заказ'!K:K,$J320)="","",INDEX('Прайс и заказ'!K:K,$J320)))</f>
      </c>
      <c r="H320" s="62" t="str">
        <f>IF($J320=0,"",IF(INDEX('Прайс и заказ'!L:L,$J320)="","",INDEX('Прайс и заказ'!L:L,$J320)))</f>
      </c>
      <c r="I320" s="13" t="str">
        <f>IF($J320=0,"",IF(INDEX('Прайс и заказ'!M:M,$J320)="","",INDEX('Прайс и заказ'!M:M,$J320)))</f>
      </c>
      <c r="J320" t="str">
        <f>IFERROR(MATCH(312,'Прайс и заказ'!$N$7:$N$623,0)+6,0)</f>
      </c>
      <c r="L320" t="str">
        <f>IF($J320=0,"",IF(INDEX('Прайс и заказ'!Q:Q,$J320)="","",INDEX('Прайс и заказ'!Q:Q,$J320)))</f>
      </c>
    </row>
    <row r="321" spans="1:12" customHeight="1" ht="40">
      <c r="A321" s="13" t="str">
        <f>IF($J321=0,"",IFERROR(_xlfn.IMAGE(INDEX('Прайс и заказ'!$O:$O,$J321)),""))</f>
      </c>
      <c r="B321" s="61" t="str">
        <f>IF($J321=0,"",IF(INDEX('Прайс и заказ'!B:B,$J321)="","",INDEX('Прайс и заказ'!B:B,$J321)))</f>
      </c>
      <c r="C321" s="64" t="str">
        <f>IF($J321=0,"",IF(INDEX('Прайс и заказ'!C:C,$J321)="","",INDEX('Прайс и заказ'!C:C,$J321)))</f>
      </c>
      <c r="D321" s="64" t="str">
        <f>IF($J321=0,"",IF(INDEX('Прайс и заказ'!D:D,$J321)="","",INDEX('Прайс и заказ'!D:D,$J321)))</f>
      </c>
      <c r="E321" s="61" t="str">
        <f>IF($J321=0,"",IF(INDEX('Прайс и заказ'!F:F,$J321)="","",INDEX('Прайс и заказ'!F:F,$J321)))</f>
      </c>
      <c r="F321" s="62" t="str">
        <f>IF($J321=0,"",IF(INDEX('Прайс и заказ'!I:I,$J321)="","",INDEX('Прайс и заказ'!I:I,$J321)))</f>
      </c>
      <c r="G321" s="63" t="str">
        <f>IF($J321=0,"",IF(INDEX('Прайс и заказ'!K:K,$J321)="","",INDEX('Прайс и заказ'!K:K,$J321)))</f>
      </c>
      <c r="H321" s="62" t="str">
        <f>IF($J321=0,"",IF(INDEX('Прайс и заказ'!L:L,$J321)="","",INDEX('Прайс и заказ'!L:L,$J321)))</f>
      </c>
      <c r="I321" s="13" t="str">
        <f>IF($J321=0,"",IF(INDEX('Прайс и заказ'!M:M,$J321)="","",INDEX('Прайс и заказ'!M:M,$J321)))</f>
      </c>
      <c r="J321" t="str">
        <f>IFERROR(MATCH(313,'Прайс и заказ'!$N$7:$N$623,0)+6,0)</f>
      </c>
      <c r="L321" t="str">
        <f>IF($J321=0,"",IF(INDEX('Прайс и заказ'!Q:Q,$J321)="","",INDEX('Прайс и заказ'!Q:Q,$J321)))</f>
      </c>
    </row>
    <row r="322" spans="1:12" customHeight="1" ht="40">
      <c r="A322" s="13" t="str">
        <f>IF($J322=0,"",IFERROR(_xlfn.IMAGE(INDEX('Прайс и заказ'!$O:$O,$J322)),""))</f>
      </c>
      <c r="B322" s="61" t="str">
        <f>IF($J322=0,"",IF(INDEX('Прайс и заказ'!B:B,$J322)="","",INDEX('Прайс и заказ'!B:B,$J322)))</f>
      </c>
      <c r="C322" s="64" t="str">
        <f>IF($J322=0,"",IF(INDEX('Прайс и заказ'!C:C,$J322)="","",INDEX('Прайс и заказ'!C:C,$J322)))</f>
      </c>
      <c r="D322" s="64" t="str">
        <f>IF($J322=0,"",IF(INDEX('Прайс и заказ'!D:D,$J322)="","",INDEX('Прайс и заказ'!D:D,$J322)))</f>
      </c>
      <c r="E322" s="61" t="str">
        <f>IF($J322=0,"",IF(INDEX('Прайс и заказ'!F:F,$J322)="","",INDEX('Прайс и заказ'!F:F,$J322)))</f>
      </c>
      <c r="F322" s="62" t="str">
        <f>IF($J322=0,"",IF(INDEX('Прайс и заказ'!I:I,$J322)="","",INDEX('Прайс и заказ'!I:I,$J322)))</f>
      </c>
      <c r="G322" s="63" t="str">
        <f>IF($J322=0,"",IF(INDEX('Прайс и заказ'!K:K,$J322)="","",INDEX('Прайс и заказ'!K:K,$J322)))</f>
      </c>
      <c r="H322" s="62" t="str">
        <f>IF($J322=0,"",IF(INDEX('Прайс и заказ'!L:L,$J322)="","",INDEX('Прайс и заказ'!L:L,$J322)))</f>
      </c>
      <c r="I322" s="13" t="str">
        <f>IF($J322=0,"",IF(INDEX('Прайс и заказ'!M:M,$J322)="","",INDEX('Прайс и заказ'!M:M,$J322)))</f>
      </c>
      <c r="J322" t="str">
        <f>IFERROR(MATCH(314,'Прайс и заказ'!$N$7:$N$623,0)+6,0)</f>
      </c>
      <c r="L322" t="str">
        <f>IF($J322=0,"",IF(INDEX('Прайс и заказ'!Q:Q,$J322)="","",INDEX('Прайс и заказ'!Q:Q,$J322)))</f>
      </c>
    </row>
    <row r="323" spans="1:12" customHeight="1" ht="40">
      <c r="A323" s="13" t="str">
        <f>IF($J323=0,"",IFERROR(_xlfn.IMAGE(INDEX('Прайс и заказ'!$O:$O,$J323)),""))</f>
      </c>
      <c r="B323" s="61" t="str">
        <f>IF($J323=0,"",IF(INDEX('Прайс и заказ'!B:B,$J323)="","",INDEX('Прайс и заказ'!B:B,$J323)))</f>
      </c>
      <c r="C323" s="64" t="str">
        <f>IF($J323=0,"",IF(INDEX('Прайс и заказ'!C:C,$J323)="","",INDEX('Прайс и заказ'!C:C,$J323)))</f>
      </c>
      <c r="D323" s="64" t="str">
        <f>IF($J323=0,"",IF(INDEX('Прайс и заказ'!D:D,$J323)="","",INDEX('Прайс и заказ'!D:D,$J323)))</f>
      </c>
      <c r="E323" s="61" t="str">
        <f>IF($J323=0,"",IF(INDEX('Прайс и заказ'!F:F,$J323)="","",INDEX('Прайс и заказ'!F:F,$J323)))</f>
      </c>
      <c r="F323" s="62" t="str">
        <f>IF($J323=0,"",IF(INDEX('Прайс и заказ'!I:I,$J323)="","",INDEX('Прайс и заказ'!I:I,$J323)))</f>
      </c>
      <c r="G323" s="63" t="str">
        <f>IF($J323=0,"",IF(INDEX('Прайс и заказ'!K:K,$J323)="","",INDEX('Прайс и заказ'!K:K,$J323)))</f>
      </c>
      <c r="H323" s="62" t="str">
        <f>IF($J323=0,"",IF(INDEX('Прайс и заказ'!L:L,$J323)="","",INDEX('Прайс и заказ'!L:L,$J323)))</f>
      </c>
      <c r="I323" s="13" t="str">
        <f>IF($J323=0,"",IF(INDEX('Прайс и заказ'!M:M,$J323)="","",INDEX('Прайс и заказ'!M:M,$J323)))</f>
      </c>
      <c r="J323" t="str">
        <f>IFERROR(MATCH(315,'Прайс и заказ'!$N$7:$N$623,0)+6,0)</f>
      </c>
      <c r="L323" t="str">
        <f>IF($J323=0,"",IF(INDEX('Прайс и заказ'!Q:Q,$J323)="","",INDEX('Прайс и заказ'!Q:Q,$J323)))</f>
      </c>
    </row>
    <row r="324" spans="1:12" customHeight="1" ht="40">
      <c r="A324" s="13" t="str">
        <f>IF($J324=0,"",IFERROR(_xlfn.IMAGE(INDEX('Прайс и заказ'!$O:$O,$J324)),""))</f>
      </c>
      <c r="B324" s="61" t="str">
        <f>IF($J324=0,"",IF(INDEX('Прайс и заказ'!B:B,$J324)="","",INDEX('Прайс и заказ'!B:B,$J324)))</f>
      </c>
      <c r="C324" s="64" t="str">
        <f>IF($J324=0,"",IF(INDEX('Прайс и заказ'!C:C,$J324)="","",INDEX('Прайс и заказ'!C:C,$J324)))</f>
      </c>
      <c r="D324" s="64" t="str">
        <f>IF($J324=0,"",IF(INDEX('Прайс и заказ'!D:D,$J324)="","",INDEX('Прайс и заказ'!D:D,$J324)))</f>
      </c>
      <c r="E324" s="61" t="str">
        <f>IF($J324=0,"",IF(INDEX('Прайс и заказ'!F:F,$J324)="","",INDEX('Прайс и заказ'!F:F,$J324)))</f>
      </c>
      <c r="F324" s="62" t="str">
        <f>IF($J324=0,"",IF(INDEX('Прайс и заказ'!I:I,$J324)="","",INDEX('Прайс и заказ'!I:I,$J324)))</f>
      </c>
      <c r="G324" s="63" t="str">
        <f>IF($J324=0,"",IF(INDEX('Прайс и заказ'!K:K,$J324)="","",INDEX('Прайс и заказ'!K:K,$J324)))</f>
      </c>
      <c r="H324" s="62" t="str">
        <f>IF($J324=0,"",IF(INDEX('Прайс и заказ'!L:L,$J324)="","",INDEX('Прайс и заказ'!L:L,$J324)))</f>
      </c>
      <c r="I324" s="13" t="str">
        <f>IF($J324=0,"",IF(INDEX('Прайс и заказ'!M:M,$J324)="","",INDEX('Прайс и заказ'!M:M,$J324)))</f>
      </c>
      <c r="J324" t="str">
        <f>IFERROR(MATCH(316,'Прайс и заказ'!$N$7:$N$623,0)+6,0)</f>
      </c>
      <c r="L324" t="str">
        <f>IF($J324=0,"",IF(INDEX('Прайс и заказ'!Q:Q,$J324)="","",INDEX('Прайс и заказ'!Q:Q,$J324)))</f>
      </c>
    </row>
    <row r="325" spans="1:12" customHeight="1" ht="40">
      <c r="A325" s="13" t="str">
        <f>IF($J325=0,"",IFERROR(_xlfn.IMAGE(INDEX('Прайс и заказ'!$O:$O,$J325)),""))</f>
      </c>
      <c r="B325" s="61" t="str">
        <f>IF($J325=0,"",IF(INDEX('Прайс и заказ'!B:B,$J325)="","",INDEX('Прайс и заказ'!B:B,$J325)))</f>
      </c>
      <c r="C325" s="64" t="str">
        <f>IF($J325=0,"",IF(INDEX('Прайс и заказ'!C:C,$J325)="","",INDEX('Прайс и заказ'!C:C,$J325)))</f>
      </c>
      <c r="D325" s="64" t="str">
        <f>IF($J325=0,"",IF(INDEX('Прайс и заказ'!D:D,$J325)="","",INDEX('Прайс и заказ'!D:D,$J325)))</f>
      </c>
      <c r="E325" s="61" t="str">
        <f>IF($J325=0,"",IF(INDEX('Прайс и заказ'!F:F,$J325)="","",INDEX('Прайс и заказ'!F:F,$J325)))</f>
      </c>
      <c r="F325" s="62" t="str">
        <f>IF($J325=0,"",IF(INDEX('Прайс и заказ'!I:I,$J325)="","",INDEX('Прайс и заказ'!I:I,$J325)))</f>
      </c>
      <c r="G325" s="63" t="str">
        <f>IF($J325=0,"",IF(INDEX('Прайс и заказ'!K:K,$J325)="","",INDEX('Прайс и заказ'!K:K,$J325)))</f>
      </c>
      <c r="H325" s="62" t="str">
        <f>IF($J325=0,"",IF(INDEX('Прайс и заказ'!L:L,$J325)="","",INDEX('Прайс и заказ'!L:L,$J325)))</f>
      </c>
      <c r="I325" s="13" t="str">
        <f>IF($J325=0,"",IF(INDEX('Прайс и заказ'!M:M,$J325)="","",INDEX('Прайс и заказ'!M:M,$J325)))</f>
      </c>
      <c r="J325" t="str">
        <f>IFERROR(MATCH(317,'Прайс и заказ'!$N$7:$N$623,0)+6,0)</f>
      </c>
      <c r="L325" t="str">
        <f>IF($J325=0,"",IF(INDEX('Прайс и заказ'!Q:Q,$J325)="","",INDEX('Прайс и заказ'!Q:Q,$J325)))</f>
      </c>
    </row>
    <row r="326" spans="1:12" customHeight="1" ht="40">
      <c r="A326" s="13" t="str">
        <f>IF($J326=0,"",IFERROR(_xlfn.IMAGE(INDEX('Прайс и заказ'!$O:$O,$J326)),""))</f>
      </c>
      <c r="B326" s="61" t="str">
        <f>IF($J326=0,"",IF(INDEX('Прайс и заказ'!B:B,$J326)="","",INDEX('Прайс и заказ'!B:B,$J326)))</f>
      </c>
      <c r="C326" s="64" t="str">
        <f>IF($J326=0,"",IF(INDEX('Прайс и заказ'!C:C,$J326)="","",INDEX('Прайс и заказ'!C:C,$J326)))</f>
      </c>
      <c r="D326" s="64" t="str">
        <f>IF($J326=0,"",IF(INDEX('Прайс и заказ'!D:D,$J326)="","",INDEX('Прайс и заказ'!D:D,$J326)))</f>
      </c>
      <c r="E326" s="61" t="str">
        <f>IF($J326=0,"",IF(INDEX('Прайс и заказ'!F:F,$J326)="","",INDEX('Прайс и заказ'!F:F,$J326)))</f>
      </c>
      <c r="F326" s="62" t="str">
        <f>IF($J326=0,"",IF(INDEX('Прайс и заказ'!I:I,$J326)="","",INDEX('Прайс и заказ'!I:I,$J326)))</f>
      </c>
      <c r="G326" s="63" t="str">
        <f>IF($J326=0,"",IF(INDEX('Прайс и заказ'!K:K,$J326)="","",INDEX('Прайс и заказ'!K:K,$J326)))</f>
      </c>
      <c r="H326" s="62" t="str">
        <f>IF($J326=0,"",IF(INDEX('Прайс и заказ'!L:L,$J326)="","",INDEX('Прайс и заказ'!L:L,$J326)))</f>
      </c>
      <c r="I326" s="13" t="str">
        <f>IF($J326=0,"",IF(INDEX('Прайс и заказ'!M:M,$J326)="","",INDEX('Прайс и заказ'!M:M,$J326)))</f>
      </c>
      <c r="J326" t="str">
        <f>IFERROR(MATCH(318,'Прайс и заказ'!$N$7:$N$623,0)+6,0)</f>
      </c>
      <c r="L326" t="str">
        <f>IF($J326=0,"",IF(INDEX('Прайс и заказ'!Q:Q,$J326)="","",INDEX('Прайс и заказ'!Q:Q,$J326)))</f>
      </c>
    </row>
    <row r="327" spans="1:12" customHeight="1" ht="40">
      <c r="A327" s="13" t="str">
        <f>IF($J327=0,"",IFERROR(_xlfn.IMAGE(INDEX('Прайс и заказ'!$O:$O,$J327)),""))</f>
      </c>
      <c r="B327" s="61" t="str">
        <f>IF($J327=0,"",IF(INDEX('Прайс и заказ'!B:B,$J327)="","",INDEX('Прайс и заказ'!B:B,$J327)))</f>
      </c>
      <c r="C327" s="64" t="str">
        <f>IF($J327=0,"",IF(INDEX('Прайс и заказ'!C:C,$J327)="","",INDEX('Прайс и заказ'!C:C,$J327)))</f>
      </c>
      <c r="D327" s="64" t="str">
        <f>IF($J327=0,"",IF(INDEX('Прайс и заказ'!D:D,$J327)="","",INDEX('Прайс и заказ'!D:D,$J327)))</f>
      </c>
      <c r="E327" s="61" t="str">
        <f>IF($J327=0,"",IF(INDEX('Прайс и заказ'!F:F,$J327)="","",INDEX('Прайс и заказ'!F:F,$J327)))</f>
      </c>
      <c r="F327" s="62" t="str">
        <f>IF($J327=0,"",IF(INDEX('Прайс и заказ'!I:I,$J327)="","",INDEX('Прайс и заказ'!I:I,$J327)))</f>
      </c>
      <c r="G327" s="63" t="str">
        <f>IF($J327=0,"",IF(INDEX('Прайс и заказ'!K:K,$J327)="","",INDEX('Прайс и заказ'!K:K,$J327)))</f>
      </c>
      <c r="H327" s="62" t="str">
        <f>IF($J327=0,"",IF(INDEX('Прайс и заказ'!L:L,$J327)="","",INDEX('Прайс и заказ'!L:L,$J327)))</f>
      </c>
      <c r="I327" s="13" t="str">
        <f>IF($J327=0,"",IF(INDEX('Прайс и заказ'!M:M,$J327)="","",INDEX('Прайс и заказ'!M:M,$J327)))</f>
      </c>
      <c r="J327" t="str">
        <f>IFERROR(MATCH(319,'Прайс и заказ'!$N$7:$N$623,0)+6,0)</f>
      </c>
      <c r="L327" t="str">
        <f>IF($J327=0,"",IF(INDEX('Прайс и заказ'!Q:Q,$J327)="","",INDEX('Прайс и заказ'!Q:Q,$J327)))</f>
      </c>
    </row>
    <row r="328" spans="1:12" customHeight="1" ht="40">
      <c r="A328" s="13" t="str">
        <f>IF($J328=0,"",IFERROR(_xlfn.IMAGE(INDEX('Прайс и заказ'!$O:$O,$J328)),""))</f>
      </c>
      <c r="B328" s="61" t="str">
        <f>IF($J328=0,"",IF(INDEX('Прайс и заказ'!B:B,$J328)="","",INDEX('Прайс и заказ'!B:B,$J328)))</f>
      </c>
      <c r="C328" s="64" t="str">
        <f>IF($J328=0,"",IF(INDEX('Прайс и заказ'!C:C,$J328)="","",INDEX('Прайс и заказ'!C:C,$J328)))</f>
      </c>
      <c r="D328" s="64" t="str">
        <f>IF($J328=0,"",IF(INDEX('Прайс и заказ'!D:D,$J328)="","",INDEX('Прайс и заказ'!D:D,$J328)))</f>
      </c>
      <c r="E328" s="61" t="str">
        <f>IF($J328=0,"",IF(INDEX('Прайс и заказ'!F:F,$J328)="","",INDEX('Прайс и заказ'!F:F,$J328)))</f>
      </c>
      <c r="F328" s="62" t="str">
        <f>IF($J328=0,"",IF(INDEX('Прайс и заказ'!I:I,$J328)="","",INDEX('Прайс и заказ'!I:I,$J328)))</f>
      </c>
      <c r="G328" s="63" t="str">
        <f>IF($J328=0,"",IF(INDEX('Прайс и заказ'!K:K,$J328)="","",INDEX('Прайс и заказ'!K:K,$J328)))</f>
      </c>
      <c r="H328" s="62" t="str">
        <f>IF($J328=0,"",IF(INDEX('Прайс и заказ'!L:L,$J328)="","",INDEX('Прайс и заказ'!L:L,$J328)))</f>
      </c>
      <c r="I328" s="13" t="str">
        <f>IF($J328=0,"",IF(INDEX('Прайс и заказ'!M:M,$J328)="","",INDEX('Прайс и заказ'!M:M,$J328)))</f>
      </c>
      <c r="J328" t="str">
        <f>IFERROR(MATCH(320,'Прайс и заказ'!$N$7:$N$623,0)+6,0)</f>
      </c>
      <c r="L328" t="str">
        <f>IF($J328=0,"",IF(INDEX('Прайс и заказ'!Q:Q,$J328)="","",INDEX('Прайс и заказ'!Q:Q,$J328)))</f>
      </c>
    </row>
    <row r="329" spans="1:12" customHeight="1" ht="40">
      <c r="A329" s="13" t="str">
        <f>IF($J329=0,"",IFERROR(_xlfn.IMAGE(INDEX('Прайс и заказ'!$O:$O,$J329)),""))</f>
      </c>
      <c r="B329" s="61" t="str">
        <f>IF($J329=0,"",IF(INDEX('Прайс и заказ'!B:B,$J329)="","",INDEX('Прайс и заказ'!B:B,$J329)))</f>
      </c>
      <c r="C329" s="64" t="str">
        <f>IF($J329=0,"",IF(INDEX('Прайс и заказ'!C:C,$J329)="","",INDEX('Прайс и заказ'!C:C,$J329)))</f>
      </c>
      <c r="D329" s="64" t="str">
        <f>IF($J329=0,"",IF(INDEX('Прайс и заказ'!D:D,$J329)="","",INDEX('Прайс и заказ'!D:D,$J329)))</f>
      </c>
      <c r="E329" s="61" t="str">
        <f>IF($J329=0,"",IF(INDEX('Прайс и заказ'!F:F,$J329)="","",INDEX('Прайс и заказ'!F:F,$J329)))</f>
      </c>
      <c r="F329" s="62" t="str">
        <f>IF($J329=0,"",IF(INDEX('Прайс и заказ'!I:I,$J329)="","",INDEX('Прайс и заказ'!I:I,$J329)))</f>
      </c>
      <c r="G329" s="63" t="str">
        <f>IF($J329=0,"",IF(INDEX('Прайс и заказ'!K:K,$J329)="","",INDEX('Прайс и заказ'!K:K,$J329)))</f>
      </c>
      <c r="H329" s="62" t="str">
        <f>IF($J329=0,"",IF(INDEX('Прайс и заказ'!L:L,$J329)="","",INDEX('Прайс и заказ'!L:L,$J329)))</f>
      </c>
      <c r="I329" s="13" t="str">
        <f>IF($J329=0,"",IF(INDEX('Прайс и заказ'!M:M,$J329)="","",INDEX('Прайс и заказ'!M:M,$J329)))</f>
      </c>
      <c r="J329" t="str">
        <f>IFERROR(MATCH(321,'Прайс и заказ'!$N$7:$N$623,0)+6,0)</f>
      </c>
      <c r="L329" t="str">
        <f>IF($J329=0,"",IF(INDEX('Прайс и заказ'!Q:Q,$J329)="","",INDEX('Прайс и заказ'!Q:Q,$J329)))</f>
      </c>
    </row>
    <row r="330" spans="1:12" customHeight="1" ht="40">
      <c r="A330" s="13" t="str">
        <f>IF($J330=0,"",IFERROR(_xlfn.IMAGE(INDEX('Прайс и заказ'!$O:$O,$J330)),""))</f>
      </c>
      <c r="B330" s="61" t="str">
        <f>IF($J330=0,"",IF(INDEX('Прайс и заказ'!B:B,$J330)="","",INDEX('Прайс и заказ'!B:B,$J330)))</f>
      </c>
      <c r="C330" s="64" t="str">
        <f>IF($J330=0,"",IF(INDEX('Прайс и заказ'!C:C,$J330)="","",INDEX('Прайс и заказ'!C:C,$J330)))</f>
      </c>
      <c r="D330" s="64" t="str">
        <f>IF($J330=0,"",IF(INDEX('Прайс и заказ'!D:D,$J330)="","",INDEX('Прайс и заказ'!D:D,$J330)))</f>
      </c>
      <c r="E330" s="61" t="str">
        <f>IF($J330=0,"",IF(INDEX('Прайс и заказ'!F:F,$J330)="","",INDEX('Прайс и заказ'!F:F,$J330)))</f>
      </c>
      <c r="F330" s="62" t="str">
        <f>IF($J330=0,"",IF(INDEX('Прайс и заказ'!I:I,$J330)="","",INDEX('Прайс и заказ'!I:I,$J330)))</f>
      </c>
      <c r="G330" s="63" t="str">
        <f>IF($J330=0,"",IF(INDEX('Прайс и заказ'!K:K,$J330)="","",INDEX('Прайс и заказ'!K:K,$J330)))</f>
      </c>
      <c r="H330" s="62" t="str">
        <f>IF($J330=0,"",IF(INDEX('Прайс и заказ'!L:L,$J330)="","",INDEX('Прайс и заказ'!L:L,$J330)))</f>
      </c>
      <c r="I330" s="13" t="str">
        <f>IF($J330=0,"",IF(INDEX('Прайс и заказ'!M:M,$J330)="","",INDEX('Прайс и заказ'!M:M,$J330)))</f>
      </c>
      <c r="J330" t="str">
        <f>IFERROR(MATCH(322,'Прайс и заказ'!$N$7:$N$623,0)+6,0)</f>
      </c>
      <c r="L330" t="str">
        <f>IF($J330=0,"",IF(INDEX('Прайс и заказ'!Q:Q,$J330)="","",INDEX('Прайс и заказ'!Q:Q,$J330)))</f>
      </c>
    </row>
    <row r="331" spans="1:12" customHeight="1" ht="40">
      <c r="A331" s="13" t="str">
        <f>IF($J331=0,"",IFERROR(_xlfn.IMAGE(INDEX('Прайс и заказ'!$O:$O,$J331)),""))</f>
      </c>
      <c r="B331" s="61" t="str">
        <f>IF($J331=0,"",IF(INDEX('Прайс и заказ'!B:B,$J331)="","",INDEX('Прайс и заказ'!B:B,$J331)))</f>
      </c>
      <c r="C331" s="64" t="str">
        <f>IF($J331=0,"",IF(INDEX('Прайс и заказ'!C:C,$J331)="","",INDEX('Прайс и заказ'!C:C,$J331)))</f>
      </c>
      <c r="D331" s="64" t="str">
        <f>IF($J331=0,"",IF(INDEX('Прайс и заказ'!D:D,$J331)="","",INDEX('Прайс и заказ'!D:D,$J331)))</f>
      </c>
      <c r="E331" s="61" t="str">
        <f>IF($J331=0,"",IF(INDEX('Прайс и заказ'!F:F,$J331)="","",INDEX('Прайс и заказ'!F:F,$J331)))</f>
      </c>
      <c r="F331" s="62" t="str">
        <f>IF($J331=0,"",IF(INDEX('Прайс и заказ'!I:I,$J331)="","",INDEX('Прайс и заказ'!I:I,$J331)))</f>
      </c>
      <c r="G331" s="63" t="str">
        <f>IF($J331=0,"",IF(INDEX('Прайс и заказ'!K:K,$J331)="","",INDEX('Прайс и заказ'!K:K,$J331)))</f>
      </c>
      <c r="H331" s="62" t="str">
        <f>IF($J331=0,"",IF(INDEX('Прайс и заказ'!L:L,$J331)="","",INDEX('Прайс и заказ'!L:L,$J331)))</f>
      </c>
      <c r="I331" s="13" t="str">
        <f>IF($J331=0,"",IF(INDEX('Прайс и заказ'!M:M,$J331)="","",INDEX('Прайс и заказ'!M:M,$J331)))</f>
      </c>
      <c r="J331" t="str">
        <f>IFERROR(MATCH(323,'Прайс и заказ'!$N$7:$N$623,0)+6,0)</f>
      </c>
      <c r="L331" t="str">
        <f>IF($J331=0,"",IF(INDEX('Прайс и заказ'!Q:Q,$J331)="","",INDEX('Прайс и заказ'!Q:Q,$J331)))</f>
      </c>
    </row>
    <row r="332" spans="1:12" customHeight="1" ht="40">
      <c r="A332" s="13" t="str">
        <f>IF($J332=0,"",IFERROR(_xlfn.IMAGE(INDEX('Прайс и заказ'!$O:$O,$J332)),""))</f>
      </c>
      <c r="B332" s="61" t="str">
        <f>IF($J332=0,"",IF(INDEX('Прайс и заказ'!B:B,$J332)="","",INDEX('Прайс и заказ'!B:B,$J332)))</f>
      </c>
      <c r="C332" s="64" t="str">
        <f>IF($J332=0,"",IF(INDEX('Прайс и заказ'!C:C,$J332)="","",INDEX('Прайс и заказ'!C:C,$J332)))</f>
      </c>
      <c r="D332" s="64" t="str">
        <f>IF($J332=0,"",IF(INDEX('Прайс и заказ'!D:D,$J332)="","",INDEX('Прайс и заказ'!D:D,$J332)))</f>
      </c>
      <c r="E332" s="61" t="str">
        <f>IF($J332=0,"",IF(INDEX('Прайс и заказ'!F:F,$J332)="","",INDEX('Прайс и заказ'!F:F,$J332)))</f>
      </c>
      <c r="F332" s="62" t="str">
        <f>IF($J332=0,"",IF(INDEX('Прайс и заказ'!I:I,$J332)="","",INDEX('Прайс и заказ'!I:I,$J332)))</f>
      </c>
      <c r="G332" s="63" t="str">
        <f>IF($J332=0,"",IF(INDEX('Прайс и заказ'!K:K,$J332)="","",INDEX('Прайс и заказ'!K:K,$J332)))</f>
      </c>
      <c r="H332" s="62" t="str">
        <f>IF($J332=0,"",IF(INDEX('Прайс и заказ'!L:L,$J332)="","",INDEX('Прайс и заказ'!L:L,$J332)))</f>
      </c>
      <c r="I332" s="13" t="str">
        <f>IF($J332=0,"",IF(INDEX('Прайс и заказ'!M:M,$J332)="","",INDEX('Прайс и заказ'!M:M,$J332)))</f>
      </c>
      <c r="J332" t="str">
        <f>IFERROR(MATCH(324,'Прайс и заказ'!$N$7:$N$623,0)+6,0)</f>
      </c>
      <c r="L332" t="str">
        <f>IF($J332=0,"",IF(INDEX('Прайс и заказ'!Q:Q,$J332)="","",INDEX('Прайс и заказ'!Q:Q,$J332)))</f>
      </c>
    </row>
    <row r="333" spans="1:12" customHeight="1" ht="40">
      <c r="A333" s="13" t="str">
        <f>IF($J333=0,"",IFERROR(_xlfn.IMAGE(INDEX('Прайс и заказ'!$O:$O,$J333)),""))</f>
      </c>
      <c r="B333" s="61" t="str">
        <f>IF($J333=0,"",IF(INDEX('Прайс и заказ'!B:B,$J333)="","",INDEX('Прайс и заказ'!B:B,$J333)))</f>
      </c>
      <c r="C333" s="64" t="str">
        <f>IF($J333=0,"",IF(INDEX('Прайс и заказ'!C:C,$J333)="","",INDEX('Прайс и заказ'!C:C,$J333)))</f>
      </c>
      <c r="D333" s="64" t="str">
        <f>IF($J333=0,"",IF(INDEX('Прайс и заказ'!D:D,$J333)="","",INDEX('Прайс и заказ'!D:D,$J333)))</f>
      </c>
      <c r="E333" s="61" t="str">
        <f>IF($J333=0,"",IF(INDEX('Прайс и заказ'!F:F,$J333)="","",INDEX('Прайс и заказ'!F:F,$J333)))</f>
      </c>
      <c r="F333" s="62" t="str">
        <f>IF($J333=0,"",IF(INDEX('Прайс и заказ'!I:I,$J333)="","",INDEX('Прайс и заказ'!I:I,$J333)))</f>
      </c>
      <c r="G333" s="63" t="str">
        <f>IF($J333=0,"",IF(INDEX('Прайс и заказ'!K:K,$J333)="","",INDEX('Прайс и заказ'!K:K,$J333)))</f>
      </c>
      <c r="H333" s="62" t="str">
        <f>IF($J333=0,"",IF(INDEX('Прайс и заказ'!L:L,$J333)="","",INDEX('Прайс и заказ'!L:L,$J333)))</f>
      </c>
      <c r="I333" s="13" t="str">
        <f>IF($J333=0,"",IF(INDEX('Прайс и заказ'!M:M,$J333)="","",INDEX('Прайс и заказ'!M:M,$J333)))</f>
      </c>
      <c r="J333" t="str">
        <f>IFERROR(MATCH(325,'Прайс и заказ'!$N$7:$N$623,0)+6,0)</f>
      </c>
      <c r="L333" t="str">
        <f>IF($J333=0,"",IF(INDEX('Прайс и заказ'!Q:Q,$J333)="","",INDEX('Прайс и заказ'!Q:Q,$J333)))</f>
      </c>
    </row>
    <row r="334" spans="1:12" customHeight="1" ht="40">
      <c r="A334" s="13" t="str">
        <f>IF($J334=0,"",IFERROR(_xlfn.IMAGE(INDEX('Прайс и заказ'!$O:$O,$J334)),""))</f>
      </c>
      <c r="B334" s="61" t="str">
        <f>IF($J334=0,"",IF(INDEX('Прайс и заказ'!B:B,$J334)="","",INDEX('Прайс и заказ'!B:B,$J334)))</f>
      </c>
      <c r="C334" s="64" t="str">
        <f>IF($J334=0,"",IF(INDEX('Прайс и заказ'!C:C,$J334)="","",INDEX('Прайс и заказ'!C:C,$J334)))</f>
      </c>
      <c r="D334" s="64" t="str">
        <f>IF($J334=0,"",IF(INDEX('Прайс и заказ'!D:D,$J334)="","",INDEX('Прайс и заказ'!D:D,$J334)))</f>
      </c>
      <c r="E334" s="61" t="str">
        <f>IF($J334=0,"",IF(INDEX('Прайс и заказ'!F:F,$J334)="","",INDEX('Прайс и заказ'!F:F,$J334)))</f>
      </c>
      <c r="F334" s="62" t="str">
        <f>IF($J334=0,"",IF(INDEX('Прайс и заказ'!I:I,$J334)="","",INDEX('Прайс и заказ'!I:I,$J334)))</f>
      </c>
      <c r="G334" s="63" t="str">
        <f>IF($J334=0,"",IF(INDEX('Прайс и заказ'!K:K,$J334)="","",INDEX('Прайс и заказ'!K:K,$J334)))</f>
      </c>
      <c r="H334" s="62" t="str">
        <f>IF($J334=0,"",IF(INDEX('Прайс и заказ'!L:L,$J334)="","",INDEX('Прайс и заказ'!L:L,$J334)))</f>
      </c>
      <c r="I334" s="13" t="str">
        <f>IF($J334=0,"",IF(INDEX('Прайс и заказ'!M:M,$J334)="","",INDEX('Прайс и заказ'!M:M,$J334)))</f>
      </c>
      <c r="J334" t="str">
        <f>IFERROR(MATCH(326,'Прайс и заказ'!$N$7:$N$623,0)+6,0)</f>
      </c>
      <c r="L334" t="str">
        <f>IF($J334=0,"",IF(INDEX('Прайс и заказ'!Q:Q,$J334)="","",INDEX('Прайс и заказ'!Q:Q,$J334)))</f>
      </c>
    </row>
    <row r="335" spans="1:12" customHeight="1" ht="40">
      <c r="A335" s="13" t="str">
        <f>IF($J335=0,"",IFERROR(_xlfn.IMAGE(INDEX('Прайс и заказ'!$O:$O,$J335)),""))</f>
      </c>
      <c r="B335" s="61" t="str">
        <f>IF($J335=0,"",IF(INDEX('Прайс и заказ'!B:B,$J335)="","",INDEX('Прайс и заказ'!B:B,$J335)))</f>
      </c>
      <c r="C335" s="64" t="str">
        <f>IF($J335=0,"",IF(INDEX('Прайс и заказ'!C:C,$J335)="","",INDEX('Прайс и заказ'!C:C,$J335)))</f>
      </c>
      <c r="D335" s="64" t="str">
        <f>IF($J335=0,"",IF(INDEX('Прайс и заказ'!D:D,$J335)="","",INDEX('Прайс и заказ'!D:D,$J335)))</f>
      </c>
      <c r="E335" s="61" t="str">
        <f>IF($J335=0,"",IF(INDEX('Прайс и заказ'!F:F,$J335)="","",INDEX('Прайс и заказ'!F:F,$J335)))</f>
      </c>
      <c r="F335" s="62" t="str">
        <f>IF($J335=0,"",IF(INDEX('Прайс и заказ'!I:I,$J335)="","",INDEX('Прайс и заказ'!I:I,$J335)))</f>
      </c>
      <c r="G335" s="63" t="str">
        <f>IF($J335=0,"",IF(INDEX('Прайс и заказ'!K:K,$J335)="","",INDEX('Прайс и заказ'!K:K,$J335)))</f>
      </c>
      <c r="H335" s="62" t="str">
        <f>IF($J335=0,"",IF(INDEX('Прайс и заказ'!L:L,$J335)="","",INDEX('Прайс и заказ'!L:L,$J335)))</f>
      </c>
      <c r="I335" s="13" t="str">
        <f>IF($J335=0,"",IF(INDEX('Прайс и заказ'!M:M,$J335)="","",INDEX('Прайс и заказ'!M:M,$J335)))</f>
      </c>
      <c r="J335" t="str">
        <f>IFERROR(MATCH(327,'Прайс и заказ'!$N$7:$N$623,0)+6,0)</f>
      </c>
      <c r="L335" t="str">
        <f>IF($J335=0,"",IF(INDEX('Прайс и заказ'!Q:Q,$J335)="","",INDEX('Прайс и заказ'!Q:Q,$J335)))</f>
      </c>
    </row>
    <row r="336" spans="1:12" customHeight="1" ht="40">
      <c r="A336" s="13" t="str">
        <f>IF($J336=0,"",IFERROR(_xlfn.IMAGE(INDEX('Прайс и заказ'!$O:$O,$J336)),""))</f>
      </c>
      <c r="B336" s="61" t="str">
        <f>IF($J336=0,"",IF(INDEX('Прайс и заказ'!B:B,$J336)="","",INDEX('Прайс и заказ'!B:B,$J336)))</f>
      </c>
      <c r="C336" s="64" t="str">
        <f>IF($J336=0,"",IF(INDEX('Прайс и заказ'!C:C,$J336)="","",INDEX('Прайс и заказ'!C:C,$J336)))</f>
      </c>
      <c r="D336" s="64" t="str">
        <f>IF($J336=0,"",IF(INDEX('Прайс и заказ'!D:D,$J336)="","",INDEX('Прайс и заказ'!D:D,$J336)))</f>
      </c>
      <c r="E336" s="61" t="str">
        <f>IF($J336=0,"",IF(INDEX('Прайс и заказ'!F:F,$J336)="","",INDEX('Прайс и заказ'!F:F,$J336)))</f>
      </c>
      <c r="F336" s="62" t="str">
        <f>IF($J336=0,"",IF(INDEX('Прайс и заказ'!I:I,$J336)="","",INDEX('Прайс и заказ'!I:I,$J336)))</f>
      </c>
      <c r="G336" s="63" t="str">
        <f>IF($J336=0,"",IF(INDEX('Прайс и заказ'!K:K,$J336)="","",INDEX('Прайс и заказ'!K:K,$J336)))</f>
      </c>
      <c r="H336" s="62" t="str">
        <f>IF($J336=0,"",IF(INDEX('Прайс и заказ'!L:L,$J336)="","",INDEX('Прайс и заказ'!L:L,$J336)))</f>
      </c>
      <c r="I336" s="13" t="str">
        <f>IF($J336=0,"",IF(INDEX('Прайс и заказ'!M:M,$J336)="","",INDEX('Прайс и заказ'!M:M,$J336)))</f>
      </c>
      <c r="J336" t="str">
        <f>IFERROR(MATCH(328,'Прайс и заказ'!$N$7:$N$623,0)+6,0)</f>
      </c>
      <c r="L336" t="str">
        <f>IF($J336=0,"",IF(INDEX('Прайс и заказ'!Q:Q,$J336)="","",INDEX('Прайс и заказ'!Q:Q,$J336)))</f>
      </c>
    </row>
    <row r="337" spans="1:12" customHeight="1" ht="40">
      <c r="A337" s="13" t="str">
        <f>IF($J337=0,"",IFERROR(_xlfn.IMAGE(INDEX('Прайс и заказ'!$O:$O,$J337)),""))</f>
      </c>
      <c r="B337" s="61" t="str">
        <f>IF($J337=0,"",IF(INDEX('Прайс и заказ'!B:B,$J337)="","",INDEX('Прайс и заказ'!B:B,$J337)))</f>
      </c>
      <c r="C337" s="64" t="str">
        <f>IF($J337=0,"",IF(INDEX('Прайс и заказ'!C:C,$J337)="","",INDEX('Прайс и заказ'!C:C,$J337)))</f>
      </c>
      <c r="D337" s="64" t="str">
        <f>IF($J337=0,"",IF(INDEX('Прайс и заказ'!D:D,$J337)="","",INDEX('Прайс и заказ'!D:D,$J337)))</f>
      </c>
      <c r="E337" s="61" t="str">
        <f>IF($J337=0,"",IF(INDEX('Прайс и заказ'!F:F,$J337)="","",INDEX('Прайс и заказ'!F:F,$J337)))</f>
      </c>
      <c r="F337" s="62" t="str">
        <f>IF($J337=0,"",IF(INDEX('Прайс и заказ'!I:I,$J337)="","",INDEX('Прайс и заказ'!I:I,$J337)))</f>
      </c>
      <c r="G337" s="63" t="str">
        <f>IF($J337=0,"",IF(INDEX('Прайс и заказ'!K:K,$J337)="","",INDEX('Прайс и заказ'!K:K,$J337)))</f>
      </c>
      <c r="H337" s="62" t="str">
        <f>IF($J337=0,"",IF(INDEX('Прайс и заказ'!L:L,$J337)="","",INDEX('Прайс и заказ'!L:L,$J337)))</f>
      </c>
      <c r="I337" s="13" t="str">
        <f>IF($J337=0,"",IF(INDEX('Прайс и заказ'!M:M,$J337)="","",INDEX('Прайс и заказ'!M:M,$J337)))</f>
      </c>
      <c r="J337" t="str">
        <f>IFERROR(MATCH(329,'Прайс и заказ'!$N$7:$N$623,0)+6,0)</f>
      </c>
      <c r="L337" t="str">
        <f>IF($J337=0,"",IF(INDEX('Прайс и заказ'!Q:Q,$J337)="","",INDEX('Прайс и заказ'!Q:Q,$J337)))</f>
      </c>
    </row>
    <row r="338" spans="1:12" customHeight="1" ht="40">
      <c r="A338" s="13" t="str">
        <f>IF($J338=0,"",IFERROR(_xlfn.IMAGE(INDEX('Прайс и заказ'!$O:$O,$J338)),""))</f>
      </c>
      <c r="B338" s="61" t="str">
        <f>IF($J338=0,"",IF(INDEX('Прайс и заказ'!B:B,$J338)="","",INDEX('Прайс и заказ'!B:B,$J338)))</f>
      </c>
      <c r="C338" s="64" t="str">
        <f>IF($J338=0,"",IF(INDEX('Прайс и заказ'!C:C,$J338)="","",INDEX('Прайс и заказ'!C:C,$J338)))</f>
      </c>
      <c r="D338" s="64" t="str">
        <f>IF($J338=0,"",IF(INDEX('Прайс и заказ'!D:D,$J338)="","",INDEX('Прайс и заказ'!D:D,$J338)))</f>
      </c>
      <c r="E338" s="61" t="str">
        <f>IF($J338=0,"",IF(INDEX('Прайс и заказ'!F:F,$J338)="","",INDEX('Прайс и заказ'!F:F,$J338)))</f>
      </c>
      <c r="F338" s="62" t="str">
        <f>IF($J338=0,"",IF(INDEX('Прайс и заказ'!I:I,$J338)="","",INDEX('Прайс и заказ'!I:I,$J338)))</f>
      </c>
      <c r="G338" s="63" t="str">
        <f>IF($J338=0,"",IF(INDEX('Прайс и заказ'!K:K,$J338)="","",INDEX('Прайс и заказ'!K:K,$J338)))</f>
      </c>
      <c r="H338" s="62" t="str">
        <f>IF($J338=0,"",IF(INDEX('Прайс и заказ'!L:L,$J338)="","",INDEX('Прайс и заказ'!L:L,$J338)))</f>
      </c>
      <c r="I338" s="13" t="str">
        <f>IF($J338=0,"",IF(INDEX('Прайс и заказ'!M:M,$J338)="","",INDEX('Прайс и заказ'!M:M,$J338)))</f>
      </c>
      <c r="J338" t="str">
        <f>IFERROR(MATCH(330,'Прайс и заказ'!$N$7:$N$623,0)+6,0)</f>
      </c>
      <c r="L338" t="str">
        <f>IF($J338=0,"",IF(INDEX('Прайс и заказ'!Q:Q,$J338)="","",INDEX('Прайс и заказ'!Q:Q,$J338)))</f>
      </c>
    </row>
    <row r="339" spans="1:12" customHeight="1" ht="40">
      <c r="A339" s="13" t="str">
        <f>IF($J339=0,"",IFERROR(_xlfn.IMAGE(INDEX('Прайс и заказ'!$O:$O,$J339)),""))</f>
      </c>
      <c r="B339" s="61" t="str">
        <f>IF($J339=0,"",IF(INDEX('Прайс и заказ'!B:B,$J339)="","",INDEX('Прайс и заказ'!B:B,$J339)))</f>
      </c>
      <c r="C339" s="64" t="str">
        <f>IF($J339=0,"",IF(INDEX('Прайс и заказ'!C:C,$J339)="","",INDEX('Прайс и заказ'!C:C,$J339)))</f>
      </c>
      <c r="D339" s="64" t="str">
        <f>IF($J339=0,"",IF(INDEX('Прайс и заказ'!D:D,$J339)="","",INDEX('Прайс и заказ'!D:D,$J339)))</f>
      </c>
      <c r="E339" s="61" t="str">
        <f>IF($J339=0,"",IF(INDEX('Прайс и заказ'!F:F,$J339)="","",INDEX('Прайс и заказ'!F:F,$J339)))</f>
      </c>
      <c r="F339" s="62" t="str">
        <f>IF($J339=0,"",IF(INDEX('Прайс и заказ'!I:I,$J339)="","",INDEX('Прайс и заказ'!I:I,$J339)))</f>
      </c>
      <c r="G339" s="63" t="str">
        <f>IF($J339=0,"",IF(INDEX('Прайс и заказ'!K:K,$J339)="","",INDEX('Прайс и заказ'!K:K,$J339)))</f>
      </c>
      <c r="H339" s="62" t="str">
        <f>IF($J339=0,"",IF(INDEX('Прайс и заказ'!L:L,$J339)="","",INDEX('Прайс и заказ'!L:L,$J339)))</f>
      </c>
      <c r="I339" s="13" t="str">
        <f>IF($J339=0,"",IF(INDEX('Прайс и заказ'!M:M,$J339)="","",INDEX('Прайс и заказ'!M:M,$J339)))</f>
      </c>
      <c r="J339" t="str">
        <f>IFERROR(MATCH(331,'Прайс и заказ'!$N$7:$N$623,0)+6,0)</f>
      </c>
      <c r="L339" t="str">
        <f>IF($J339=0,"",IF(INDEX('Прайс и заказ'!Q:Q,$J339)="","",INDEX('Прайс и заказ'!Q:Q,$J339)))</f>
      </c>
    </row>
    <row r="340" spans="1:12" customHeight="1" ht="40">
      <c r="A340" s="13" t="str">
        <f>IF($J340=0,"",IFERROR(_xlfn.IMAGE(INDEX('Прайс и заказ'!$O:$O,$J340)),""))</f>
      </c>
      <c r="B340" s="61" t="str">
        <f>IF($J340=0,"",IF(INDEX('Прайс и заказ'!B:B,$J340)="","",INDEX('Прайс и заказ'!B:B,$J340)))</f>
      </c>
      <c r="C340" s="64" t="str">
        <f>IF($J340=0,"",IF(INDEX('Прайс и заказ'!C:C,$J340)="","",INDEX('Прайс и заказ'!C:C,$J340)))</f>
      </c>
      <c r="D340" s="64" t="str">
        <f>IF($J340=0,"",IF(INDEX('Прайс и заказ'!D:D,$J340)="","",INDEX('Прайс и заказ'!D:D,$J340)))</f>
      </c>
      <c r="E340" s="61" t="str">
        <f>IF($J340=0,"",IF(INDEX('Прайс и заказ'!F:F,$J340)="","",INDEX('Прайс и заказ'!F:F,$J340)))</f>
      </c>
      <c r="F340" s="62" t="str">
        <f>IF($J340=0,"",IF(INDEX('Прайс и заказ'!I:I,$J340)="","",INDEX('Прайс и заказ'!I:I,$J340)))</f>
      </c>
      <c r="G340" s="63" t="str">
        <f>IF($J340=0,"",IF(INDEX('Прайс и заказ'!K:K,$J340)="","",INDEX('Прайс и заказ'!K:K,$J340)))</f>
      </c>
      <c r="H340" s="62" t="str">
        <f>IF($J340=0,"",IF(INDEX('Прайс и заказ'!L:L,$J340)="","",INDEX('Прайс и заказ'!L:L,$J340)))</f>
      </c>
      <c r="I340" s="13" t="str">
        <f>IF($J340=0,"",IF(INDEX('Прайс и заказ'!M:M,$J340)="","",INDEX('Прайс и заказ'!M:M,$J340)))</f>
      </c>
      <c r="J340" t="str">
        <f>IFERROR(MATCH(332,'Прайс и заказ'!$N$7:$N$623,0)+6,0)</f>
      </c>
      <c r="L340" t="str">
        <f>IF($J340=0,"",IF(INDEX('Прайс и заказ'!Q:Q,$J340)="","",INDEX('Прайс и заказ'!Q:Q,$J340)))</f>
      </c>
    </row>
    <row r="341" spans="1:12" customHeight="1" ht="40">
      <c r="A341" s="13" t="str">
        <f>IF($J341=0,"",IFERROR(_xlfn.IMAGE(INDEX('Прайс и заказ'!$O:$O,$J341)),""))</f>
      </c>
      <c r="B341" s="61" t="str">
        <f>IF($J341=0,"",IF(INDEX('Прайс и заказ'!B:B,$J341)="","",INDEX('Прайс и заказ'!B:B,$J341)))</f>
      </c>
      <c r="C341" s="64" t="str">
        <f>IF($J341=0,"",IF(INDEX('Прайс и заказ'!C:C,$J341)="","",INDEX('Прайс и заказ'!C:C,$J341)))</f>
      </c>
      <c r="D341" s="64" t="str">
        <f>IF($J341=0,"",IF(INDEX('Прайс и заказ'!D:D,$J341)="","",INDEX('Прайс и заказ'!D:D,$J341)))</f>
      </c>
      <c r="E341" s="61" t="str">
        <f>IF($J341=0,"",IF(INDEX('Прайс и заказ'!F:F,$J341)="","",INDEX('Прайс и заказ'!F:F,$J341)))</f>
      </c>
      <c r="F341" s="62" t="str">
        <f>IF($J341=0,"",IF(INDEX('Прайс и заказ'!I:I,$J341)="","",INDEX('Прайс и заказ'!I:I,$J341)))</f>
      </c>
      <c r="G341" s="63" t="str">
        <f>IF($J341=0,"",IF(INDEX('Прайс и заказ'!K:K,$J341)="","",INDEX('Прайс и заказ'!K:K,$J341)))</f>
      </c>
      <c r="H341" s="62" t="str">
        <f>IF($J341=0,"",IF(INDEX('Прайс и заказ'!L:L,$J341)="","",INDEX('Прайс и заказ'!L:L,$J341)))</f>
      </c>
      <c r="I341" s="13" t="str">
        <f>IF($J341=0,"",IF(INDEX('Прайс и заказ'!M:M,$J341)="","",INDEX('Прайс и заказ'!M:M,$J341)))</f>
      </c>
      <c r="J341" t="str">
        <f>IFERROR(MATCH(333,'Прайс и заказ'!$N$7:$N$623,0)+6,0)</f>
      </c>
      <c r="L341" t="str">
        <f>IF($J341=0,"",IF(INDEX('Прайс и заказ'!Q:Q,$J341)="","",INDEX('Прайс и заказ'!Q:Q,$J341)))</f>
      </c>
    </row>
    <row r="342" spans="1:12" customHeight="1" ht="40">
      <c r="A342" s="13" t="str">
        <f>IF($J342=0,"",IFERROR(_xlfn.IMAGE(INDEX('Прайс и заказ'!$O:$O,$J342)),""))</f>
      </c>
      <c r="B342" s="61" t="str">
        <f>IF($J342=0,"",IF(INDEX('Прайс и заказ'!B:B,$J342)="","",INDEX('Прайс и заказ'!B:B,$J342)))</f>
      </c>
      <c r="C342" s="64" t="str">
        <f>IF($J342=0,"",IF(INDEX('Прайс и заказ'!C:C,$J342)="","",INDEX('Прайс и заказ'!C:C,$J342)))</f>
      </c>
      <c r="D342" s="64" t="str">
        <f>IF($J342=0,"",IF(INDEX('Прайс и заказ'!D:D,$J342)="","",INDEX('Прайс и заказ'!D:D,$J342)))</f>
      </c>
      <c r="E342" s="61" t="str">
        <f>IF($J342=0,"",IF(INDEX('Прайс и заказ'!F:F,$J342)="","",INDEX('Прайс и заказ'!F:F,$J342)))</f>
      </c>
      <c r="F342" s="62" t="str">
        <f>IF($J342=0,"",IF(INDEX('Прайс и заказ'!I:I,$J342)="","",INDEX('Прайс и заказ'!I:I,$J342)))</f>
      </c>
      <c r="G342" s="63" t="str">
        <f>IF($J342=0,"",IF(INDEX('Прайс и заказ'!K:K,$J342)="","",INDEX('Прайс и заказ'!K:K,$J342)))</f>
      </c>
      <c r="H342" s="62" t="str">
        <f>IF($J342=0,"",IF(INDEX('Прайс и заказ'!L:L,$J342)="","",INDEX('Прайс и заказ'!L:L,$J342)))</f>
      </c>
      <c r="I342" s="13" t="str">
        <f>IF($J342=0,"",IF(INDEX('Прайс и заказ'!M:M,$J342)="","",INDEX('Прайс и заказ'!M:M,$J342)))</f>
      </c>
      <c r="J342" t="str">
        <f>IFERROR(MATCH(334,'Прайс и заказ'!$N$7:$N$623,0)+6,0)</f>
      </c>
      <c r="L342" t="str">
        <f>IF($J342=0,"",IF(INDEX('Прайс и заказ'!Q:Q,$J342)="","",INDEX('Прайс и заказ'!Q:Q,$J342)))</f>
      </c>
    </row>
    <row r="343" spans="1:12" customHeight="1" ht="40">
      <c r="A343" s="13" t="str">
        <f>IF($J343=0,"",IFERROR(_xlfn.IMAGE(INDEX('Прайс и заказ'!$O:$O,$J343)),""))</f>
      </c>
      <c r="B343" s="61" t="str">
        <f>IF($J343=0,"",IF(INDEX('Прайс и заказ'!B:B,$J343)="","",INDEX('Прайс и заказ'!B:B,$J343)))</f>
      </c>
      <c r="C343" s="64" t="str">
        <f>IF($J343=0,"",IF(INDEX('Прайс и заказ'!C:C,$J343)="","",INDEX('Прайс и заказ'!C:C,$J343)))</f>
      </c>
      <c r="D343" s="64" t="str">
        <f>IF($J343=0,"",IF(INDEX('Прайс и заказ'!D:D,$J343)="","",INDEX('Прайс и заказ'!D:D,$J343)))</f>
      </c>
      <c r="E343" s="61" t="str">
        <f>IF($J343=0,"",IF(INDEX('Прайс и заказ'!F:F,$J343)="","",INDEX('Прайс и заказ'!F:F,$J343)))</f>
      </c>
      <c r="F343" s="62" t="str">
        <f>IF($J343=0,"",IF(INDEX('Прайс и заказ'!I:I,$J343)="","",INDEX('Прайс и заказ'!I:I,$J343)))</f>
      </c>
      <c r="G343" s="63" t="str">
        <f>IF($J343=0,"",IF(INDEX('Прайс и заказ'!K:K,$J343)="","",INDEX('Прайс и заказ'!K:K,$J343)))</f>
      </c>
      <c r="H343" s="62" t="str">
        <f>IF($J343=0,"",IF(INDEX('Прайс и заказ'!L:L,$J343)="","",INDEX('Прайс и заказ'!L:L,$J343)))</f>
      </c>
      <c r="I343" s="13" t="str">
        <f>IF($J343=0,"",IF(INDEX('Прайс и заказ'!M:M,$J343)="","",INDEX('Прайс и заказ'!M:M,$J343)))</f>
      </c>
      <c r="J343" t="str">
        <f>IFERROR(MATCH(335,'Прайс и заказ'!$N$7:$N$623,0)+6,0)</f>
      </c>
      <c r="L343" t="str">
        <f>IF($J343=0,"",IF(INDEX('Прайс и заказ'!Q:Q,$J343)="","",INDEX('Прайс и заказ'!Q:Q,$J343)))</f>
      </c>
    </row>
    <row r="344" spans="1:12" customHeight="1" ht="40">
      <c r="A344" s="13" t="str">
        <f>IF($J344=0,"",IFERROR(_xlfn.IMAGE(INDEX('Прайс и заказ'!$O:$O,$J344)),""))</f>
      </c>
      <c r="B344" s="61" t="str">
        <f>IF($J344=0,"",IF(INDEX('Прайс и заказ'!B:B,$J344)="","",INDEX('Прайс и заказ'!B:B,$J344)))</f>
      </c>
      <c r="C344" s="64" t="str">
        <f>IF($J344=0,"",IF(INDEX('Прайс и заказ'!C:C,$J344)="","",INDEX('Прайс и заказ'!C:C,$J344)))</f>
      </c>
      <c r="D344" s="64" t="str">
        <f>IF($J344=0,"",IF(INDEX('Прайс и заказ'!D:D,$J344)="","",INDEX('Прайс и заказ'!D:D,$J344)))</f>
      </c>
      <c r="E344" s="61" t="str">
        <f>IF($J344=0,"",IF(INDEX('Прайс и заказ'!F:F,$J344)="","",INDEX('Прайс и заказ'!F:F,$J344)))</f>
      </c>
      <c r="F344" s="62" t="str">
        <f>IF($J344=0,"",IF(INDEX('Прайс и заказ'!I:I,$J344)="","",INDEX('Прайс и заказ'!I:I,$J344)))</f>
      </c>
      <c r="G344" s="63" t="str">
        <f>IF($J344=0,"",IF(INDEX('Прайс и заказ'!K:K,$J344)="","",INDEX('Прайс и заказ'!K:K,$J344)))</f>
      </c>
      <c r="H344" s="62" t="str">
        <f>IF($J344=0,"",IF(INDEX('Прайс и заказ'!L:L,$J344)="","",INDEX('Прайс и заказ'!L:L,$J344)))</f>
      </c>
      <c r="I344" s="13" t="str">
        <f>IF($J344=0,"",IF(INDEX('Прайс и заказ'!M:M,$J344)="","",INDEX('Прайс и заказ'!M:M,$J344)))</f>
      </c>
      <c r="J344" t="str">
        <f>IFERROR(MATCH(336,'Прайс и заказ'!$N$7:$N$623,0)+6,0)</f>
      </c>
      <c r="L344" t="str">
        <f>IF($J344=0,"",IF(INDEX('Прайс и заказ'!Q:Q,$J344)="","",INDEX('Прайс и заказ'!Q:Q,$J344)))</f>
      </c>
    </row>
    <row r="345" spans="1:12" customHeight="1" ht="40">
      <c r="A345" s="13" t="str">
        <f>IF($J345=0,"",IFERROR(_xlfn.IMAGE(INDEX('Прайс и заказ'!$O:$O,$J345)),""))</f>
      </c>
      <c r="B345" s="61" t="str">
        <f>IF($J345=0,"",IF(INDEX('Прайс и заказ'!B:B,$J345)="","",INDEX('Прайс и заказ'!B:B,$J345)))</f>
      </c>
      <c r="C345" s="64" t="str">
        <f>IF($J345=0,"",IF(INDEX('Прайс и заказ'!C:C,$J345)="","",INDEX('Прайс и заказ'!C:C,$J345)))</f>
      </c>
      <c r="D345" s="64" t="str">
        <f>IF($J345=0,"",IF(INDEX('Прайс и заказ'!D:D,$J345)="","",INDEX('Прайс и заказ'!D:D,$J345)))</f>
      </c>
      <c r="E345" s="61" t="str">
        <f>IF($J345=0,"",IF(INDEX('Прайс и заказ'!F:F,$J345)="","",INDEX('Прайс и заказ'!F:F,$J345)))</f>
      </c>
      <c r="F345" s="62" t="str">
        <f>IF($J345=0,"",IF(INDEX('Прайс и заказ'!I:I,$J345)="","",INDEX('Прайс и заказ'!I:I,$J345)))</f>
      </c>
      <c r="G345" s="63" t="str">
        <f>IF($J345=0,"",IF(INDEX('Прайс и заказ'!K:K,$J345)="","",INDEX('Прайс и заказ'!K:K,$J345)))</f>
      </c>
      <c r="H345" s="62" t="str">
        <f>IF($J345=0,"",IF(INDEX('Прайс и заказ'!L:L,$J345)="","",INDEX('Прайс и заказ'!L:L,$J345)))</f>
      </c>
      <c r="I345" s="13" t="str">
        <f>IF($J345=0,"",IF(INDEX('Прайс и заказ'!M:M,$J345)="","",INDEX('Прайс и заказ'!M:M,$J345)))</f>
      </c>
      <c r="J345" t="str">
        <f>IFERROR(MATCH(337,'Прайс и заказ'!$N$7:$N$623,0)+6,0)</f>
      </c>
      <c r="L345" t="str">
        <f>IF($J345=0,"",IF(INDEX('Прайс и заказ'!Q:Q,$J345)="","",INDEX('Прайс и заказ'!Q:Q,$J345)))</f>
      </c>
    </row>
    <row r="346" spans="1:12" customHeight="1" ht="40">
      <c r="A346" s="13" t="str">
        <f>IF($J346=0,"",IFERROR(_xlfn.IMAGE(INDEX('Прайс и заказ'!$O:$O,$J346)),""))</f>
      </c>
      <c r="B346" s="61" t="str">
        <f>IF($J346=0,"",IF(INDEX('Прайс и заказ'!B:B,$J346)="","",INDEX('Прайс и заказ'!B:B,$J346)))</f>
      </c>
      <c r="C346" s="64" t="str">
        <f>IF($J346=0,"",IF(INDEX('Прайс и заказ'!C:C,$J346)="","",INDEX('Прайс и заказ'!C:C,$J346)))</f>
      </c>
      <c r="D346" s="64" t="str">
        <f>IF($J346=0,"",IF(INDEX('Прайс и заказ'!D:D,$J346)="","",INDEX('Прайс и заказ'!D:D,$J346)))</f>
      </c>
      <c r="E346" s="61" t="str">
        <f>IF($J346=0,"",IF(INDEX('Прайс и заказ'!F:F,$J346)="","",INDEX('Прайс и заказ'!F:F,$J346)))</f>
      </c>
      <c r="F346" s="62" t="str">
        <f>IF($J346=0,"",IF(INDEX('Прайс и заказ'!I:I,$J346)="","",INDEX('Прайс и заказ'!I:I,$J346)))</f>
      </c>
      <c r="G346" s="63" t="str">
        <f>IF($J346=0,"",IF(INDEX('Прайс и заказ'!K:K,$J346)="","",INDEX('Прайс и заказ'!K:K,$J346)))</f>
      </c>
      <c r="H346" s="62" t="str">
        <f>IF($J346=0,"",IF(INDEX('Прайс и заказ'!L:L,$J346)="","",INDEX('Прайс и заказ'!L:L,$J346)))</f>
      </c>
      <c r="I346" s="13" t="str">
        <f>IF($J346=0,"",IF(INDEX('Прайс и заказ'!M:M,$J346)="","",INDEX('Прайс и заказ'!M:M,$J346)))</f>
      </c>
      <c r="J346" t="str">
        <f>IFERROR(MATCH(338,'Прайс и заказ'!$N$7:$N$623,0)+6,0)</f>
      </c>
      <c r="L346" t="str">
        <f>IF($J346=0,"",IF(INDEX('Прайс и заказ'!Q:Q,$J346)="","",INDEX('Прайс и заказ'!Q:Q,$J346)))</f>
      </c>
    </row>
    <row r="347" spans="1:12" customHeight="1" ht="40">
      <c r="A347" s="13" t="str">
        <f>IF($J347=0,"",IFERROR(_xlfn.IMAGE(INDEX('Прайс и заказ'!$O:$O,$J347)),""))</f>
      </c>
      <c r="B347" s="61" t="str">
        <f>IF($J347=0,"",IF(INDEX('Прайс и заказ'!B:B,$J347)="","",INDEX('Прайс и заказ'!B:B,$J347)))</f>
      </c>
      <c r="C347" s="64" t="str">
        <f>IF($J347=0,"",IF(INDEX('Прайс и заказ'!C:C,$J347)="","",INDEX('Прайс и заказ'!C:C,$J347)))</f>
      </c>
      <c r="D347" s="64" t="str">
        <f>IF($J347=0,"",IF(INDEX('Прайс и заказ'!D:D,$J347)="","",INDEX('Прайс и заказ'!D:D,$J347)))</f>
      </c>
      <c r="E347" s="61" t="str">
        <f>IF($J347=0,"",IF(INDEX('Прайс и заказ'!F:F,$J347)="","",INDEX('Прайс и заказ'!F:F,$J347)))</f>
      </c>
      <c r="F347" s="62" t="str">
        <f>IF($J347=0,"",IF(INDEX('Прайс и заказ'!I:I,$J347)="","",INDEX('Прайс и заказ'!I:I,$J347)))</f>
      </c>
      <c r="G347" s="63" t="str">
        <f>IF($J347=0,"",IF(INDEX('Прайс и заказ'!K:K,$J347)="","",INDEX('Прайс и заказ'!K:K,$J347)))</f>
      </c>
      <c r="H347" s="62" t="str">
        <f>IF($J347=0,"",IF(INDEX('Прайс и заказ'!L:L,$J347)="","",INDEX('Прайс и заказ'!L:L,$J347)))</f>
      </c>
      <c r="I347" s="13" t="str">
        <f>IF($J347=0,"",IF(INDEX('Прайс и заказ'!M:M,$J347)="","",INDEX('Прайс и заказ'!M:M,$J347)))</f>
      </c>
      <c r="J347" t="str">
        <f>IFERROR(MATCH(339,'Прайс и заказ'!$N$7:$N$623,0)+6,0)</f>
      </c>
      <c r="L347" t="str">
        <f>IF($J347=0,"",IF(INDEX('Прайс и заказ'!Q:Q,$J347)="","",INDEX('Прайс и заказ'!Q:Q,$J347)))</f>
      </c>
    </row>
    <row r="348" spans="1:12" customHeight="1" ht="40">
      <c r="A348" s="13" t="str">
        <f>IF($J348=0,"",IFERROR(_xlfn.IMAGE(INDEX('Прайс и заказ'!$O:$O,$J348)),""))</f>
      </c>
      <c r="B348" s="61" t="str">
        <f>IF($J348=0,"",IF(INDEX('Прайс и заказ'!B:B,$J348)="","",INDEX('Прайс и заказ'!B:B,$J348)))</f>
      </c>
      <c r="C348" s="64" t="str">
        <f>IF($J348=0,"",IF(INDEX('Прайс и заказ'!C:C,$J348)="","",INDEX('Прайс и заказ'!C:C,$J348)))</f>
      </c>
      <c r="D348" s="64" t="str">
        <f>IF($J348=0,"",IF(INDEX('Прайс и заказ'!D:D,$J348)="","",INDEX('Прайс и заказ'!D:D,$J348)))</f>
      </c>
      <c r="E348" s="61" t="str">
        <f>IF($J348=0,"",IF(INDEX('Прайс и заказ'!F:F,$J348)="","",INDEX('Прайс и заказ'!F:F,$J348)))</f>
      </c>
      <c r="F348" s="62" t="str">
        <f>IF($J348=0,"",IF(INDEX('Прайс и заказ'!I:I,$J348)="","",INDEX('Прайс и заказ'!I:I,$J348)))</f>
      </c>
      <c r="G348" s="63" t="str">
        <f>IF($J348=0,"",IF(INDEX('Прайс и заказ'!K:K,$J348)="","",INDEX('Прайс и заказ'!K:K,$J348)))</f>
      </c>
      <c r="H348" s="62" t="str">
        <f>IF($J348=0,"",IF(INDEX('Прайс и заказ'!L:L,$J348)="","",INDEX('Прайс и заказ'!L:L,$J348)))</f>
      </c>
      <c r="I348" s="13" t="str">
        <f>IF($J348=0,"",IF(INDEX('Прайс и заказ'!M:M,$J348)="","",INDEX('Прайс и заказ'!M:M,$J348)))</f>
      </c>
      <c r="J348" t="str">
        <f>IFERROR(MATCH(340,'Прайс и заказ'!$N$7:$N$623,0)+6,0)</f>
      </c>
      <c r="L348" t="str">
        <f>IF($J348=0,"",IF(INDEX('Прайс и заказ'!Q:Q,$J348)="","",INDEX('Прайс и заказ'!Q:Q,$J348)))</f>
      </c>
    </row>
    <row r="349" spans="1:12" customHeight="1" ht="40">
      <c r="A349" s="13" t="str">
        <f>IF($J349=0,"",IFERROR(_xlfn.IMAGE(INDEX('Прайс и заказ'!$O:$O,$J349)),""))</f>
      </c>
      <c r="B349" s="61" t="str">
        <f>IF($J349=0,"",IF(INDEX('Прайс и заказ'!B:B,$J349)="","",INDEX('Прайс и заказ'!B:B,$J349)))</f>
      </c>
      <c r="C349" s="64" t="str">
        <f>IF($J349=0,"",IF(INDEX('Прайс и заказ'!C:C,$J349)="","",INDEX('Прайс и заказ'!C:C,$J349)))</f>
      </c>
      <c r="D349" s="64" t="str">
        <f>IF($J349=0,"",IF(INDEX('Прайс и заказ'!D:D,$J349)="","",INDEX('Прайс и заказ'!D:D,$J349)))</f>
      </c>
      <c r="E349" s="61" t="str">
        <f>IF($J349=0,"",IF(INDEX('Прайс и заказ'!F:F,$J349)="","",INDEX('Прайс и заказ'!F:F,$J349)))</f>
      </c>
      <c r="F349" s="62" t="str">
        <f>IF($J349=0,"",IF(INDEX('Прайс и заказ'!I:I,$J349)="","",INDEX('Прайс и заказ'!I:I,$J349)))</f>
      </c>
      <c r="G349" s="63" t="str">
        <f>IF($J349=0,"",IF(INDEX('Прайс и заказ'!K:K,$J349)="","",INDEX('Прайс и заказ'!K:K,$J349)))</f>
      </c>
      <c r="H349" s="62" t="str">
        <f>IF($J349=0,"",IF(INDEX('Прайс и заказ'!L:L,$J349)="","",INDEX('Прайс и заказ'!L:L,$J349)))</f>
      </c>
      <c r="I349" s="13" t="str">
        <f>IF($J349=0,"",IF(INDEX('Прайс и заказ'!M:M,$J349)="","",INDEX('Прайс и заказ'!M:M,$J349)))</f>
      </c>
      <c r="J349" t="str">
        <f>IFERROR(MATCH(341,'Прайс и заказ'!$N$7:$N$623,0)+6,0)</f>
      </c>
      <c r="L349" t="str">
        <f>IF($J349=0,"",IF(INDEX('Прайс и заказ'!Q:Q,$J349)="","",INDEX('Прайс и заказ'!Q:Q,$J349)))</f>
      </c>
    </row>
    <row r="350" spans="1:12" customHeight="1" ht="40">
      <c r="A350" s="13" t="str">
        <f>IF($J350=0,"",IFERROR(_xlfn.IMAGE(INDEX('Прайс и заказ'!$O:$O,$J350)),""))</f>
      </c>
      <c r="B350" s="61" t="str">
        <f>IF($J350=0,"",IF(INDEX('Прайс и заказ'!B:B,$J350)="","",INDEX('Прайс и заказ'!B:B,$J350)))</f>
      </c>
      <c r="C350" s="64" t="str">
        <f>IF($J350=0,"",IF(INDEX('Прайс и заказ'!C:C,$J350)="","",INDEX('Прайс и заказ'!C:C,$J350)))</f>
      </c>
      <c r="D350" s="64" t="str">
        <f>IF($J350=0,"",IF(INDEX('Прайс и заказ'!D:D,$J350)="","",INDEX('Прайс и заказ'!D:D,$J350)))</f>
      </c>
      <c r="E350" s="61" t="str">
        <f>IF($J350=0,"",IF(INDEX('Прайс и заказ'!F:F,$J350)="","",INDEX('Прайс и заказ'!F:F,$J350)))</f>
      </c>
      <c r="F350" s="62" t="str">
        <f>IF($J350=0,"",IF(INDEX('Прайс и заказ'!I:I,$J350)="","",INDEX('Прайс и заказ'!I:I,$J350)))</f>
      </c>
      <c r="G350" s="63" t="str">
        <f>IF($J350=0,"",IF(INDEX('Прайс и заказ'!K:K,$J350)="","",INDEX('Прайс и заказ'!K:K,$J350)))</f>
      </c>
      <c r="H350" s="62" t="str">
        <f>IF($J350=0,"",IF(INDEX('Прайс и заказ'!L:L,$J350)="","",INDEX('Прайс и заказ'!L:L,$J350)))</f>
      </c>
      <c r="I350" s="13" t="str">
        <f>IF($J350=0,"",IF(INDEX('Прайс и заказ'!M:M,$J350)="","",INDEX('Прайс и заказ'!M:M,$J350)))</f>
      </c>
      <c r="J350" t="str">
        <f>IFERROR(MATCH(342,'Прайс и заказ'!$N$7:$N$623,0)+6,0)</f>
      </c>
      <c r="L350" t="str">
        <f>IF($J350=0,"",IF(INDEX('Прайс и заказ'!Q:Q,$J350)="","",INDEX('Прайс и заказ'!Q:Q,$J350)))</f>
      </c>
    </row>
    <row r="351" spans="1:12" customHeight="1" ht="40">
      <c r="A351" s="13" t="str">
        <f>IF($J351=0,"",IFERROR(_xlfn.IMAGE(INDEX('Прайс и заказ'!$O:$O,$J351)),""))</f>
      </c>
      <c r="B351" s="61" t="str">
        <f>IF($J351=0,"",IF(INDEX('Прайс и заказ'!B:B,$J351)="","",INDEX('Прайс и заказ'!B:B,$J351)))</f>
      </c>
      <c r="C351" s="64" t="str">
        <f>IF($J351=0,"",IF(INDEX('Прайс и заказ'!C:C,$J351)="","",INDEX('Прайс и заказ'!C:C,$J351)))</f>
      </c>
      <c r="D351" s="64" t="str">
        <f>IF($J351=0,"",IF(INDEX('Прайс и заказ'!D:D,$J351)="","",INDEX('Прайс и заказ'!D:D,$J351)))</f>
      </c>
      <c r="E351" s="61" t="str">
        <f>IF($J351=0,"",IF(INDEX('Прайс и заказ'!F:F,$J351)="","",INDEX('Прайс и заказ'!F:F,$J351)))</f>
      </c>
      <c r="F351" s="62" t="str">
        <f>IF($J351=0,"",IF(INDEX('Прайс и заказ'!I:I,$J351)="","",INDEX('Прайс и заказ'!I:I,$J351)))</f>
      </c>
      <c r="G351" s="63" t="str">
        <f>IF($J351=0,"",IF(INDEX('Прайс и заказ'!K:K,$J351)="","",INDEX('Прайс и заказ'!K:K,$J351)))</f>
      </c>
      <c r="H351" s="62" t="str">
        <f>IF($J351=0,"",IF(INDEX('Прайс и заказ'!L:L,$J351)="","",INDEX('Прайс и заказ'!L:L,$J351)))</f>
      </c>
      <c r="I351" s="13" t="str">
        <f>IF($J351=0,"",IF(INDEX('Прайс и заказ'!M:M,$J351)="","",INDEX('Прайс и заказ'!M:M,$J351)))</f>
      </c>
      <c r="J351" t="str">
        <f>IFERROR(MATCH(343,'Прайс и заказ'!$N$7:$N$623,0)+6,0)</f>
      </c>
      <c r="L351" t="str">
        <f>IF($J351=0,"",IF(INDEX('Прайс и заказ'!Q:Q,$J351)="","",INDEX('Прайс и заказ'!Q:Q,$J351)))</f>
      </c>
    </row>
    <row r="352" spans="1:12" customHeight="1" ht="40">
      <c r="A352" s="13" t="str">
        <f>IF($J352=0,"",IFERROR(_xlfn.IMAGE(INDEX('Прайс и заказ'!$O:$O,$J352)),""))</f>
      </c>
      <c r="B352" s="61" t="str">
        <f>IF($J352=0,"",IF(INDEX('Прайс и заказ'!B:B,$J352)="","",INDEX('Прайс и заказ'!B:B,$J352)))</f>
      </c>
      <c r="C352" s="64" t="str">
        <f>IF($J352=0,"",IF(INDEX('Прайс и заказ'!C:C,$J352)="","",INDEX('Прайс и заказ'!C:C,$J352)))</f>
      </c>
      <c r="D352" s="64" t="str">
        <f>IF($J352=0,"",IF(INDEX('Прайс и заказ'!D:D,$J352)="","",INDEX('Прайс и заказ'!D:D,$J352)))</f>
      </c>
      <c r="E352" s="61" t="str">
        <f>IF($J352=0,"",IF(INDEX('Прайс и заказ'!F:F,$J352)="","",INDEX('Прайс и заказ'!F:F,$J352)))</f>
      </c>
      <c r="F352" s="62" t="str">
        <f>IF($J352=0,"",IF(INDEX('Прайс и заказ'!I:I,$J352)="","",INDEX('Прайс и заказ'!I:I,$J352)))</f>
      </c>
      <c r="G352" s="63" t="str">
        <f>IF($J352=0,"",IF(INDEX('Прайс и заказ'!K:K,$J352)="","",INDEX('Прайс и заказ'!K:K,$J352)))</f>
      </c>
      <c r="H352" s="62" t="str">
        <f>IF($J352=0,"",IF(INDEX('Прайс и заказ'!L:L,$J352)="","",INDEX('Прайс и заказ'!L:L,$J352)))</f>
      </c>
      <c r="I352" s="13" t="str">
        <f>IF($J352=0,"",IF(INDEX('Прайс и заказ'!M:M,$J352)="","",INDEX('Прайс и заказ'!M:M,$J352)))</f>
      </c>
      <c r="J352" t="str">
        <f>IFERROR(MATCH(344,'Прайс и заказ'!$N$7:$N$623,0)+6,0)</f>
      </c>
      <c r="L352" t="str">
        <f>IF($J352=0,"",IF(INDEX('Прайс и заказ'!Q:Q,$J352)="","",INDEX('Прайс и заказ'!Q:Q,$J352)))</f>
      </c>
    </row>
    <row r="353" spans="1:12" customHeight="1" ht="40">
      <c r="A353" s="13" t="str">
        <f>IF($J353=0,"",IFERROR(_xlfn.IMAGE(INDEX('Прайс и заказ'!$O:$O,$J353)),""))</f>
      </c>
      <c r="B353" s="61" t="str">
        <f>IF($J353=0,"",IF(INDEX('Прайс и заказ'!B:B,$J353)="","",INDEX('Прайс и заказ'!B:B,$J353)))</f>
      </c>
      <c r="C353" s="64" t="str">
        <f>IF($J353=0,"",IF(INDEX('Прайс и заказ'!C:C,$J353)="","",INDEX('Прайс и заказ'!C:C,$J353)))</f>
      </c>
      <c r="D353" s="64" t="str">
        <f>IF($J353=0,"",IF(INDEX('Прайс и заказ'!D:D,$J353)="","",INDEX('Прайс и заказ'!D:D,$J353)))</f>
      </c>
      <c r="E353" s="61" t="str">
        <f>IF($J353=0,"",IF(INDEX('Прайс и заказ'!F:F,$J353)="","",INDEX('Прайс и заказ'!F:F,$J353)))</f>
      </c>
      <c r="F353" s="62" t="str">
        <f>IF($J353=0,"",IF(INDEX('Прайс и заказ'!I:I,$J353)="","",INDEX('Прайс и заказ'!I:I,$J353)))</f>
      </c>
      <c r="G353" s="63" t="str">
        <f>IF($J353=0,"",IF(INDEX('Прайс и заказ'!K:K,$J353)="","",INDEX('Прайс и заказ'!K:K,$J353)))</f>
      </c>
      <c r="H353" s="62" t="str">
        <f>IF($J353=0,"",IF(INDEX('Прайс и заказ'!L:L,$J353)="","",INDEX('Прайс и заказ'!L:L,$J353)))</f>
      </c>
      <c r="I353" s="13" t="str">
        <f>IF($J353=0,"",IF(INDEX('Прайс и заказ'!M:M,$J353)="","",INDEX('Прайс и заказ'!M:M,$J353)))</f>
      </c>
      <c r="J353" t="str">
        <f>IFERROR(MATCH(345,'Прайс и заказ'!$N$7:$N$623,0)+6,0)</f>
      </c>
      <c r="L353" t="str">
        <f>IF($J353=0,"",IF(INDEX('Прайс и заказ'!Q:Q,$J353)="","",INDEX('Прайс и заказ'!Q:Q,$J353)))</f>
      </c>
    </row>
    <row r="354" spans="1:12" customHeight="1" ht="40">
      <c r="A354" s="13" t="str">
        <f>IF($J354=0,"",IFERROR(_xlfn.IMAGE(INDEX('Прайс и заказ'!$O:$O,$J354)),""))</f>
      </c>
      <c r="B354" s="61" t="str">
        <f>IF($J354=0,"",IF(INDEX('Прайс и заказ'!B:B,$J354)="","",INDEX('Прайс и заказ'!B:B,$J354)))</f>
      </c>
      <c r="C354" s="64" t="str">
        <f>IF($J354=0,"",IF(INDEX('Прайс и заказ'!C:C,$J354)="","",INDEX('Прайс и заказ'!C:C,$J354)))</f>
      </c>
      <c r="D354" s="64" t="str">
        <f>IF($J354=0,"",IF(INDEX('Прайс и заказ'!D:D,$J354)="","",INDEX('Прайс и заказ'!D:D,$J354)))</f>
      </c>
      <c r="E354" s="61" t="str">
        <f>IF($J354=0,"",IF(INDEX('Прайс и заказ'!F:F,$J354)="","",INDEX('Прайс и заказ'!F:F,$J354)))</f>
      </c>
      <c r="F354" s="62" t="str">
        <f>IF($J354=0,"",IF(INDEX('Прайс и заказ'!I:I,$J354)="","",INDEX('Прайс и заказ'!I:I,$J354)))</f>
      </c>
      <c r="G354" s="63" t="str">
        <f>IF($J354=0,"",IF(INDEX('Прайс и заказ'!K:K,$J354)="","",INDEX('Прайс и заказ'!K:K,$J354)))</f>
      </c>
      <c r="H354" s="62" t="str">
        <f>IF($J354=0,"",IF(INDEX('Прайс и заказ'!L:L,$J354)="","",INDEX('Прайс и заказ'!L:L,$J354)))</f>
      </c>
      <c r="I354" s="13" t="str">
        <f>IF($J354=0,"",IF(INDEX('Прайс и заказ'!M:M,$J354)="","",INDEX('Прайс и заказ'!M:M,$J354)))</f>
      </c>
      <c r="J354" t="str">
        <f>IFERROR(MATCH(346,'Прайс и заказ'!$N$7:$N$623,0)+6,0)</f>
      </c>
      <c r="L354" t="str">
        <f>IF($J354=0,"",IF(INDEX('Прайс и заказ'!Q:Q,$J354)="","",INDEX('Прайс и заказ'!Q:Q,$J354)))</f>
      </c>
    </row>
    <row r="355" spans="1:12" customHeight="1" ht="40">
      <c r="A355" s="13" t="str">
        <f>IF($J355=0,"",IFERROR(_xlfn.IMAGE(INDEX('Прайс и заказ'!$O:$O,$J355)),""))</f>
      </c>
      <c r="B355" s="61" t="str">
        <f>IF($J355=0,"",IF(INDEX('Прайс и заказ'!B:B,$J355)="","",INDEX('Прайс и заказ'!B:B,$J355)))</f>
      </c>
      <c r="C355" s="64" t="str">
        <f>IF($J355=0,"",IF(INDEX('Прайс и заказ'!C:C,$J355)="","",INDEX('Прайс и заказ'!C:C,$J355)))</f>
      </c>
      <c r="D355" s="64" t="str">
        <f>IF($J355=0,"",IF(INDEX('Прайс и заказ'!D:D,$J355)="","",INDEX('Прайс и заказ'!D:D,$J355)))</f>
      </c>
      <c r="E355" s="61" t="str">
        <f>IF($J355=0,"",IF(INDEX('Прайс и заказ'!F:F,$J355)="","",INDEX('Прайс и заказ'!F:F,$J355)))</f>
      </c>
      <c r="F355" s="62" t="str">
        <f>IF($J355=0,"",IF(INDEX('Прайс и заказ'!I:I,$J355)="","",INDEX('Прайс и заказ'!I:I,$J355)))</f>
      </c>
      <c r="G355" s="63" t="str">
        <f>IF($J355=0,"",IF(INDEX('Прайс и заказ'!K:K,$J355)="","",INDEX('Прайс и заказ'!K:K,$J355)))</f>
      </c>
      <c r="H355" s="62" t="str">
        <f>IF($J355=0,"",IF(INDEX('Прайс и заказ'!L:L,$J355)="","",INDEX('Прайс и заказ'!L:L,$J355)))</f>
      </c>
      <c r="I355" s="13" t="str">
        <f>IF($J355=0,"",IF(INDEX('Прайс и заказ'!M:M,$J355)="","",INDEX('Прайс и заказ'!M:M,$J355)))</f>
      </c>
      <c r="J355" t="str">
        <f>IFERROR(MATCH(347,'Прайс и заказ'!$N$7:$N$623,0)+6,0)</f>
      </c>
      <c r="L355" t="str">
        <f>IF($J355=0,"",IF(INDEX('Прайс и заказ'!Q:Q,$J355)="","",INDEX('Прайс и заказ'!Q:Q,$J355)))</f>
      </c>
    </row>
    <row r="356" spans="1:12" customHeight="1" ht="40">
      <c r="A356" s="13" t="str">
        <f>IF($J356=0,"",IFERROR(_xlfn.IMAGE(INDEX('Прайс и заказ'!$O:$O,$J356)),""))</f>
      </c>
      <c r="B356" s="61" t="str">
        <f>IF($J356=0,"",IF(INDEX('Прайс и заказ'!B:B,$J356)="","",INDEX('Прайс и заказ'!B:B,$J356)))</f>
      </c>
      <c r="C356" s="64" t="str">
        <f>IF($J356=0,"",IF(INDEX('Прайс и заказ'!C:C,$J356)="","",INDEX('Прайс и заказ'!C:C,$J356)))</f>
      </c>
      <c r="D356" s="64" t="str">
        <f>IF($J356=0,"",IF(INDEX('Прайс и заказ'!D:D,$J356)="","",INDEX('Прайс и заказ'!D:D,$J356)))</f>
      </c>
      <c r="E356" s="61" t="str">
        <f>IF($J356=0,"",IF(INDEX('Прайс и заказ'!F:F,$J356)="","",INDEX('Прайс и заказ'!F:F,$J356)))</f>
      </c>
      <c r="F356" s="62" t="str">
        <f>IF($J356=0,"",IF(INDEX('Прайс и заказ'!I:I,$J356)="","",INDEX('Прайс и заказ'!I:I,$J356)))</f>
      </c>
      <c r="G356" s="63" t="str">
        <f>IF($J356=0,"",IF(INDEX('Прайс и заказ'!K:K,$J356)="","",INDEX('Прайс и заказ'!K:K,$J356)))</f>
      </c>
      <c r="H356" s="62" t="str">
        <f>IF($J356=0,"",IF(INDEX('Прайс и заказ'!L:L,$J356)="","",INDEX('Прайс и заказ'!L:L,$J356)))</f>
      </c>
      <c r="I356" s="13" t="str">
        <f>IF($J356=0,"",IF(INDEX('Прайс и заказ'!M:M,$J356)="","",INDEX('Прайс и заказ'!M:M,$J356)))</f>
      </c>
      <c r="J356" t="str">
        <f>IFERROR(MATCH(348,'Прайс и заказ'!$N$7:$N$623,0)+6,0)</f>
      </c>
      <c r="L356" t="str">
        <f>IF($J356=0,"",IF(INDEX('Прайс и заказ'!Q:Q,$J356)="","",INDEX('Прайс и заказ'!Q:Q,$J356)))</f>
      </c>
    </row>
    <row r="357" spans="1:12" customHeight="1" ht="40">
      <c r="A357" s="13" t="str">
        <f>IF($J357=0,"",IFERROR(_xlfn.IMAGE(INDEX('Прайс и заказ'!$O:$O,$J357)),""))</f>
      </c>
      <c r="B357" s="61" t="str">
        <f>IF($J357=0,"",IF(INDEX('Прайс и заказ'!B:B,$J357)="","",INDEX('Прайс и заказ'!B:B,$J357)))</f>
      </c>
      <c r="C357" s="64" t="str">
        <f>IF($J357=0,"",IF(INDEX('Прайс и заказ'!C:C,$J357)="","",INDEX('Прайс и заказ'!C:C,$J357)))</f>
      </c>
      <c r="D357" s="64" t="str">
        <f>IF($J357=0,"",IF(INDEX('Прайс и заказ'!D:D,$J357)="","",INDEX('Прайс и заказ'!D:D,$J357)))</f>
      </c>
      <c r="E357" s="61" t="str">
        <f>IF($J357=0,"",IF(INDEX('Прайс и заказ'!F:F,$J357)="","",INDEX('Прайс и заказ'!F:F,$J357)))</f>
      </c>
      <c r="F357" s="62" t="str">
        <f>IF($J357=0,"",IF(INDEX('Прайс и заказ'!I:I,$J357)="","",INDEX('Прайс и заказ'!I:I,$J357)))</f>
      </c>
      <c r="G357" s="63" t="str">
        <f>IF($J357=0,"",IF(INDEX('Прайс и заказ'!K:K,$J357)="","",INDEX('Прайс и заказ'!K:K,$J357)))</f>
      </c>
      <c r="H357" s="62" t="str">
        <f>IF($J357=0,"",IF(INDEX('Прайс и заказ'!L:L,$J357)="","",INDEX('Прайс и заказ'!L:L,$J357)))</f>
      </c>
      <c r="I357" s="13" t="str">
        <f>IF($J357=0,"",IF(INDEX('Прайс и заказ'!M:M,$J357)="","",INDEX('Прайс и заказ'!M:M,$J357)))</f>
      </c>
      <c r="J357" t="str">
        <f>IFERROR(MATCH(349,'Прайс и заказ'!$N$7:$N$623,0)+6,0)</f>
      </c>
      <c r="L357" t="str">
        <f>IF($J357=0,"",IF(INDEX('Прайс и заказ'!Q:Q,$J357)="","",INDEX('Прайс и заказ'!Q:Q,$J357)))</f>
      </c>
    </row>
    <row r="358" spans="1:12" customHeight="1" ht="40">
      <c r="A358" s="13" t="str">
        <f>IF($J358=0,"",IFERROR(_xlfn.IMAGE(INDEX('Прайс и заказ'!$O:$O,$J358)),""))</f>
      </c>
      <c r="B358" s="61" t="str">
        <f>IF($J358=0,"",IF(INDEX('Прайс и заказ'!B:B,$J358)="","",INDEX('Прайс и заказ'!B:B,$J358)))</f>
      </c>
      <c r="C358" s="64" t="str">
        <f>IF($J358=0,"",IF(INDEX('Прайс и заказ'!C:C,$J358)="","",INDEX('Прайс и заказ'!C:C,$J358)))</f>
      </c>
      <c r="D358" s="64" t="str">
        <f>IF($J358=0,"",IF(INDEX('Прайс и заказ'!D:D,$J358)="","",INDEX('Прайс и заказ'!D:D,$J358)))</f>
      </c>
      <c r="E358" s="61" t="str">
        <f>IF($J358=0,"",IF(INDEX('Прайс и заказ'!F:F,$J358)="","",INDEX('Прайс и заказ'!F:F,$J358)))</f>
      </c>
      <c r="F358" s="62" t="str">
        <f>IF($J358=0,"",IF(INDEX('Прайс и заказ'!I:I,$J358)="","",INDEX('Прайс и заказ'!I:I,$J358)))</f>
      </c>
      <c r="G358" s="63" t="str">
        <f>IF($J358=0,"",IF(INDEX('Прайс и заказ'!K:K,$J358)="","",INDEX('Прайс и заказ'!K:K,$J358)))</f>
      </c>
      <c r="H358" s="62" t="str">
        <f>IF($J358=0,"",IF(INDEX('Прайс и заказ'!L:L,$J358)="","",INDEX('Прайс и заказ'!L:L,$J358)))</f>
      </c>
      <c r="I358" s="13" t="str">
        <f>IF($J358=0,"",IF(INDEX('Прайс и заказ'!M:M,$J358)="","",INDEX('Прайс и заказ'!M:M,$J358)))</f>
      </c>
      <c r="J358" t="str">
        <f>IFERROR(MATCH(350,'Прайс и заказ'!$N$7:$N$623,0)+6,0)</f>
      </c>
      <c r="L358" t="str">
        <f>IF($J358=0,"",IF(INDEX('Прайс и заказ'!Q:Q,$J358)="","",INDEX('Прайс и заказ'!Q:Q,$J358)))</f>
      </c>
    </row>
    <row r="359" spans="1:12" customHeight="1" ht="40">
      <c r="A359" s="13" t="str">
        <f>IF($J359=0,"",IFERROR(_xlfn.IMAGE(INDEX('Прайс и заказ'!$O:$O,$J359)),""))</f>
      </c>
      <c r="B359" s="61" t="str">
        <f>IF($J359=0,"",IF(INDEX('Прайс и заказ'!B:B,$J359)="","",INDEX('Прайс и заказ'!B:B,$J359)))</f>
      </c>
      <c r="C359" s="64" t="str">
        <f>IF($J359=0,"",IF(INDEX('Прайс и заказ'!C:C,$J359)="","",INDEX('Прайс и заказ'!C:C,$J359)))</f>
      </c>
      <c r="D359" s="64" t="str">
        <f>IF($J359=0,"",IF(INDEX('Прайс и заказ'!D:D,$J359)="","",INDEX('Прайс и заказ'!D:D,$J359)))</f>
      </c>
      <c r="E359" s="61" t="str">
        <f>IF($J359=0,"",IF(INDEX('Прайс и заказ'!F:F,$J359)="","",INDEX('Прайс и заказ'!F:F,$J359)))</f>
      </c>
      <c r="F359" s="62" t="str">
        <f>IF($J359=0,"",IF(INDEX('Прайс и заказ'!I:I,$J359)="","",INDEX('Прайс и заказ'!I:I,$J359)))</f>
      </c>
      <c r="G359" s="63" t="str">
        <f>IF($J359=0,"",IF(INDEX('Прайс и заказ'!K:K,$J359)="","",INDEX('Прайс и заказ'!K:K,$J359)))</f>
      </c>
      <c r="H359" s="62" t="str">
        <f>IF($J359=0,"",IF(INDEX('Прайс и заказ'!L:L,$J359)="","",INDEX('Прайс и заказ'!L:L,$J359)))</f>
      </c>
      <c r="I359" s="13" t="str">
        <f>IF($J359=0,"",IF(INDEX('Прайс и заказ'!M:M,$J359)="","",INDEX('Прайс и заказ'!M:M,$J359)))</f>
      </c>
      <c r="J359" t="str">
        <f>IFERROR(MATCH(351,'Прайс и заказ'!$N$7:$N$623,0)+6,0)</f>
      </c>
      <c r="L359" t="str">
        <f>IF($J359=0,"",IF(INDEX('Прайс и заказ'!Q:Q,$J359)="","",INDEX('Прайс и заказ'!Q:Q,$J359)))</f>
      </c>
    </row>
    <row r="360" spans="1:12" customHeight="1" ht="40">
      <c r="A360" s="13" t="str">
        <f>IF($J360=0,"",IFERROR(_xlfn.IMAGE(INDEX('Прайс и заказ'!$O:$O,$J360)),""))</f>
      </c>
      <c r="B360" s="61" t="str">
        <f>IF($J360=0,"",IF(INDEX('Прайс и заказ'!B:B,$J360)="","",INDEX('Прайс и заказ'!B:B,$J360)))</f>
      </c>
      <c r="C360" s="64" t="str">
        <f>IF($J360=0,"",IF(INDEX('Прайс и заказ'!C:C,$J360)="","",INDEX('Прайс и заказ'!C:C,$J360)))</f>
      </c>
      <c r="D360" s="64" t="str">
        <f>IF($J360=0,"",IF(INDEX('Прайс и заказ'!D:D,$J360)="","",INDEX('Прайс и заказ'!D:D,$J360)))</f>
      </c>
      <c r="E360" s="61" t="str">
        <f>IF($J360=0,"",IF(INDEX('Прайс и заказ'!F:F,$J360)="","",INDEX('Прайс и заказ'!F:F,$J360)))</f>
      </c>
      <c r="F360" s="62" t="str">
        <f>IF($J360=0,"",IF(INDEX('Прайс и заказ'!I:I,$J360)="","",INDEX('Прайс и заказ'!I:I,$J360)))</f>
      </c>
      <c r="G360" s="63" t="str">
        <f>IF($J360=0,"",IF(INDEX('Прайс и заказ'!K:K,$J360)="","",INDEX('Прайс и заказ'!K:K,$J360)))</f>
      </c>
      <c r="H360" s="62" t="str">
        <f>IF($J360=0,"",IF(INDEX('Прайс и заказ'!L:L,$J360)="","",INDEX('Прайс и заказ'!L:L,$J360)))</f>
      </c>
      <c r="I360" s="13" t="str">
        <f>IF($J360=0,"",IF(INDEX('Прайс и заказ'!M:M,$J360)="","",INDEX('Прайс и заказ'!M:M,$J360)))</f>
      </c>
      <c r="J360" t="str">
        <f>IFERROR(MATCH(352,'Прайс и заказ'!$N$7:$N$623,0)+6,0)</f>
      </c>
      <c r="L360" t="str">
        <f>IF($J360=0,"",IF(INDEX('Прайс и заказ'!Q:Q,$J360)="","",INDEX('Прайс и заказ'!Q:Q,$J360)))</f>
      </c>
    </row>
    <row r="361" spans="1:12" customHeight="1" ht="40">
      <c r="A361" s="13" t="str">
        <f>IF($J361=0,"",IFERROR(_xlfn.IMAGE(INDEX('Прайс и заказ'!$O:$O,$J361)),""))</f>
      </c>
      <c r="B361" s="61" t="str">
        <f>IF($J361=0,"",IF(INDEX('Прайс и заказ'!B:B,$J361)="","",INDEX('Прайс и заказ'!B:B,$J361)))</f>
      </c>
      <c r="C361" s="64" t="str">
        <f>IF($J361=0,"",IF(INDEX('Прайс и заказ'!C:C,$J361)="","",INDEX('Прайс и заказ'!C:C,$J361)))</f>
      </c>
      <c r="D361" s="64" t="str">
        <f>IF($J361=0,"",IF(INDEX('Прайс и заказ'!D:D,$J361)="","",INDEX('Прайс и заказ'!D:D,$J361)))</f>
      </c>
      <c r="E361" s="61" t="str">
        <f>IF($J361=0,"",IF(INDEX('Прайс и заказ'!F:F,$J361)="","",INDEX('Прайс и заказ'!F:F,$J361)))</f>
      </c>
      <c r="F361" s="62" t="str">
        <f>IF($J361=0,"",IF(INDEX('Прайс и заказ'!I:I,$J361)="","",INDEX('Прайс и заказ'!I:I,$J361)))</f>
      </c>
      <c r="G361" s="63" t="str">
        <f>IF($J361=0,"",IF(INDEX('Прайс и заказ'!K:K,$J361)="","",INDEX('Прайс и заказ'!K:K,$J361)))</f>
      </c>
      <c r="H361" s="62" t="str">
        <f>IF($J361=0,"",IF(INDEX('Прайс и заказ'!L:L,$J361)="","",INDEX('Прайс и заказ'!L:L,$J361)))</f>
      </c>
      <c r="I361" s="13" t="str">
        <f>IF($J361=0,"",IF(INDEX('Прайс и заказ'!M:M,$J361)="","",INDEX('Прайс и заказ'!M:M,$J361)))</f>
      </c>
      <c r="J361" t="str">
        <f>IFERROR(MATCH(353,'Прайс и заказ'!$N$7:$N$623,0)+6,0)</f>
      </c>
      <c r="L361" t="str">
        <f>IF($J361=0,"",IF(INDEX('Прайс и заказ'!Q:Q,$J361)="","",INDEX('Прайс и заказ'!Q:Q,$J361)))</f>
      </c>
    </row>
    <row r="362" spans="1:12" customHeight="1" ht="40">
      <c r="A362" s="13" t="str">
        <f>IF($J362=0,"",IFERROR(_xlfn.IMAGE(INDEX('Прайс и заказ'!$O:$O,$J362)),""))</f>
      </c>
      <c r="B362" s="61" t="str">
        <f>IF($J362=0,"",IF(INDEX('Прайс и заказ'!B:B,$J362)="","",INDEX('Прайс и заказ'!B:B,$J362)))</f>
      </c>
      <c r="C362" s="64" t="str">
        <f>IF($J362=0,"",IF(INDEX('Прайс и заказ'!C:C,$J362)="","",INDEX('Прайс и заказ'!C:C,$J362)))</f>
      </c>
      <c r="D362" s="64" t="str">
        <f>IF($J362=0,"",IF(INDEX('Прайс и заказ'!D:D,$J362)="","",INDEX('Прайс и заказ'!D:D,$J362)))</f>
      </c>
      <c r="E362" s="61" t="str">
        <f>IF($J362=0,"",IF(INDEX('Прайс и заказ'!F:F,$J362)="","",INDEX('Прайс и заказ'!F:F,$J362)))</f>
      </c>
      <c r="F362" s="62" t="str">
        <f>IF($J362=0,"",IF(INDEX('Прайс и заказ'!I:I,$J362)="","",INDEX('Прайс и заказ'!I:I,$J362)))</f>
      </c>
      <c r="G362" s="63" t="str">
        <f>IF($J362=0,"",IF(INDEX('Прайс и заказ'!K:K,$J362)="","",INDEX('Прайс и заказ'!K:K,$J362)))</f>
      </c>
      <c r="H362" s="62" t="str">
        <f>IF($J362=0,"",IF(INDEX('Прайс и заказ'!L:L,$J362)="","",INDEX('Прайс и заказ'!L:L,$J362)))</f>
      </c>
      <c r="I362" s="13" t="str">
        <f>IF($J362=0,"",IF(INDEX('Прайс и заказ'!M:M,$J362)="","",INDEX('Прайс и заказ'!M:M,$J362)))</f>
      </c>
      <c r="J362" t="str">
        <f>IFERROR(MATCH(354,'Прайс и заказ'!$N$7:$N$623,0)+6,0)</f>
      </c>
      <c r="L362" t="str">
        <f>IF($J362=0,"",IF(INDEX('Прайс и заказ'!Q:Q,$J362)="","",INDEX('Прайс и заказ'!Q:Q,$J362)))</f>
      </c>
    </row>
    <row r="363" spans="1:12" customHeight="1" ht="40">
      <c r="A363" s="13" t="str">
        <f>IF($J363=0,"",IFERROR(_xlfn.IMAGE(INDEX('Прайс и заказ'!$O:$O,$J363)),""))</f>
      </c>
      <c r="B363" s="61" t="str">
        <f>IF($J363=0,"",IF(INDEX('Прайс и заказ'!B:B,$J363)="","",INDEX('Прайс и заказ'!B:B,$J363)))</f>
      </c>
      <c r="C363" s="64" t="str">
        <f>IF($J363=0,"",IF(INDEX('Прайс и заказ'!C:C,$J363)="","",INDEX('Прайс и заказ'!C:C,$J363)))</f>
      </c>
      <c r="D363" s="64" t="str">
        <f>IF($J363=0,"",IF(INDEX('Прайс и заказ'!D:D,$J363)="","",INDEX('Прайс и заказ'!D:D,$J363)))</f>
      </c>
      <c r="E363" s="61" t="str">
        <f>IF($J363=0,"",IF(INDEX('Прайс и заказ'!F:F,$J363)="","",INDEX('Прайс и заказ'!F:F,$J363)))</f>
      </c>
      <c r="F363" s="62" t="str">
        <f>IF($J363=0,"",IF(INDEX('Прайс и заказ'!I:I,$J363)="","",INDEX('Прайс и заказ'!I:I,$J363)))</f>
      </c>
      <c r="G363" s="63" t="str">
        <f>IF($J363=0,"",IF(INDEX('Прайс и заказ'!K:K,$J363)="","",INDEX('Прайс и заказ'!K:K,$J363)))</f>
      </c>
      <c r="H363" s="62" t="str">
        <f>IF($J363=0,"",IF(INDEX('Прайс и заказ'!L:L,$J363)="","",INDEX('Прайс и заказ'!L:L,$J363)))</f>
      </c>
      <c r="I363" s="13" t="str">
        <f>IF($J363=0,"",IF(INDEX('Прайс и заказ'!M:M,$J363)="","",INDEX('Прайс и заказ'!M:M,$J363)))</f>
      </c>
      <c r="J363" t="str">
        <f>IFERROR(MATCH(355,'Прайс и заказ'!$N$7:$N$623,0)+6,0)</f>
      </c>
      <c r="L363" t="str">
        <f>IF($J363=0,"",IF(INDEX('Прайс и заказ'!Q:Q,$J363)="","",INDEX('Прайс и заказ'!Q:Q,$J363)))</f>
      </c>
    </row>
    <row r="364" spans="1:12" customHeight="1" ht="40">
      <c r="A364" s="13" t="str">
        <f>IF($J364=0,"",IFERROR(_xlfn.IMAGE(INDEX('Прайс и заказ'!$O:$O,$J364)),""))</f>
      </c>
      <c r="B364" s="61" t="str">
        <f>IF($J364=0,"",IF(INDEX('Прайс и заказ'!B:B,$J364)="","",INDEX('Прайс и заказ'!B:B,$J364)))</f>
      </c>
      <c r="C364" s="64" t="str">
        <f>IF($J364=0,"",IF(INDEX('Прайс и заказ'!C:C,$J364)="","",INDEX('Прайс и заказ'!C:C,$J364)))</f>
      </c>
      <c r="D364" s="64" t="str">
        <f>IF($J364=0,"",IF(INDEX('Прайс и заказ'!D:D,$J364)="","",INDEX('Прайс и заказ'!D:D,$J364)))</f>
      </c>
      <c r="E364" s="61" t="str">
        <f>IF($J364=0,"",IF(INDEX('Прайс и заказ'!F:F,$J364)="","",INDEX('Прайс и заказ'!F:F,$J364)))</f>
      </c>
      <c r="F364" s="62" t="str">
        <f>IF($J364=0,"",IF(INDEX('Прайс и заказ'!I:I,$J364)="","",INDEX('Прайс и заказ'!I:I,$J364)))</f>
      </c>
      <c r="G364" s="63" t="str">
        <f>IF($J364=0,"",IF(INDEX('Прайс и заказ'!K:K,$J364)="","",INDEX('Прайс и заказ'!K:K,$J364)))</f>
      </c>
      <c r="H364" s="62" t="str">
        <f>IF($J364=0,"",IF(INDEX('Прайс и заказ'!L:L,$J364)="","",INDEX('Прайс и заказ'!L:L,$J364)))</f>
      </c>
      <c r="I364" s="13" t="str">
        <f>IF($J364=0,"",IF(INDEX('Прайс и заказ'!M:M,$J364)="","",INDEX('Прайс и заказ'!M:M,$J364)))</f>
      </c>
      <c r="J364" t="str">
        <f>IFERROR(MATCH(356,'Прайс и заказ'!$N$7:$N$623,0)+6,0)</f>
      </c>
      <c r="L364" t="str">
        <f>IF($J364=0,"",IF(INDEX('Прайс и заказ'!Q:Q,$J364)="","",INDEX('Прайс и заказ'!Q:Q,$J364)))</f>
      </c>
    </row>
    <row r="365" spans="1:12" customHeight="1" ht="40">
      <c r="A365" s="13" t="str">
        <f>IF($J365=0,"",IFERROR(_xlfn.IMAGE(INDEX('Прайс и заказ'!$O:$O,$J365)),""))</f>
      </c>
      <c r="B365" s="61" t="str">
        <f>IF($J365=0,"",IF(INDEX('Прайс и заказ'!B:B,$J365)="","",INDEX('Прайс и заказ'!B:B,$J365)))</f>
      </c>
      <c r="C365" s="64" t="str">
        <f>IF($J365=0,"",IF(INDEX('Прайс и заказ'!C:C,$J365)="","",INDEX('Прайс и заказ'!C:C,$J365)))</f>
      </c>
      <c r="D365" s="64" t="str">
        <f>IF($J365=0,"",IF(INDEX('Прайс и заказ'!D:D,$J365)="","",INDEX('Прайс и заказ'!D:D,$J365)))</f>
      </c>
      <c r="E365" s="61" t="str">
        <f>IF($J365=0,"",IF(INDEX('Прайс и заказ'!F:F,$J365)="","",INDEX('Прайс и заказ'!F:F,$J365)))</f>
      </c>
      <c r="F365" s="62" t="str">
        <f>IF($J365=0,"",IF(INDEX('Прайс и заказ'!I:I,$J365)="","",INDEX('Прайс и заказ'!I:I,$J365)))</f>
      </c>
      <c r="G365" s="63" t="str">
        <f>IF($J365=0,"",IF(INDEX('Прайс и заказ'!K:K,$J365)="","",INDEX('Прайс и заказ'!K:K,$J365)))</f>
      </c>
      <c r="H365" s="62" t="str">
        <f>IF($J365=0,"",IF(INDEX('Прайс и заказ'!L:L,$J365)="","",INDEX('Прайс и заказ'!L:L,$J365)))</f>
      </c>
      <c r="I365" s="13" t="str">
        <f>IF($J365=0,"",IF(INDEX('Прайс и заказ'!M:M,$J365)="","",INDEX('Прайс и заказ'!M:M,$J365)))</f>
      </c>
      <c r="J365" t="str">
        <f>IFERROR(MATCH(357,'Прайс и заказ'!$N$7:$N$623,0)+6,0)</f>
      </c>
      <c r="L365" t="str">
        <f>IF($J365=0,"",IF(INDEX('Прайс и заказ'!Q:Q,$J365)="","",INDEX('Прайс и заказ'!Q:Q,$J365)))</f>
      </c>
    </row>
    <row r="366" spans="1:12" customHeight="1" ht="40">
      <c r="A366" s="13" t="str">
        <f>IF($J366=0,"",IFERROR(_xlfn.IMAGE(INDEX('Прайс и заказ'!$O:$O,$J366)),""))</f>
      </c>
      <c r="B366" s="61" t="str">
        <f>IF($J366=0,"",IF(INDEX('Прайс и заказ'!B:B,$J366)="","",INDEX('Прайс и заказ'!B:B,$J366)))</f>
      </c>
      <c r="C366" s="64" t="str">
        <f>IF($J366=0,"",IF(INDEX('Прайс и заказ'!C:C,$J366)="","",INDEX('Прайс и заказ'!C:C,$J366)))</f>
      </c>
      <c r="D366" s="64" t="str">
        <f>IF($J366=0,"",IF(INDEX('Прайс и заказ'!D:D,$J366)="","",INDEX('Прайс и заказ'!D:D,$J366)))</f>
      </c>
      <c r="E366" s="61" t="str">
        <f>IF($J366=0,"",IF(INDEX('Прайс и заказ'!F:F,$J366)="","",INDEX('Прайс и заказ'!F:F,$J366)))</f>
      </c>
      <c r="F366" s="62" t="str">
        <f>IF($J366=0,"",IF(INDEX('Прайс и заказ'!I:I,$J366)="","",INDEX('Прайс и заказ'!I:I,$J366)))</f>
      </c>
      <c r="G366" s="63" t="str">
        <f>IF($J366=0,"",IF(INDEX('Прайс и заказ'!K:K,$J366)="","",INDEX('Прайс и заказ'!K:K,$J366)))</f>
      </c>
      <c r="H366" s="62" t="str">
        <f>IF($J366=0,"",IF(INDEX('Прайс и заказ'!L:L,$J366)="","",INDEX('Прайс и заказ'!L:L,$J366)))</f>
      </c>
      <c r="I366" s="13" t="str">
        <f>IF($J366=0,"",IF(INDEX('Прайс и заказ'!M:M,$J366)="","",INDEX('Прайс и заказ'!M:M,$J366)))</f>
      </c>
      <c r="J366" t="str">
        <f>IFERROR(MATCH(358,'Прайс и заказ'!$N$7:$N$623,0)+6,0)</f>
      </c>
      <c r="L366" t="str">
        <f>IF($J366=0,"",IF(INDEX('Прайс и заказ'!Q:Q,$J366)="","",INDEX('Прайс и заказ'!Q:Q,$J366)))</f>
      </c>
    </row>
    <row r="367" spans="1:12" customHeight="1" ht="40">
      <c r="A367" s="13" t="str">
        <f>IF($J367=0,"",IFERROR(_xlfn.IMAGE(INDEX('Прайс и заказ'!$O:$O,$J367)),""))</f>
      </c>
      <c r="B367" s="61" t="str">
        <f>IF($J367=0,"",IF(INDEX('Прайс и заказ'!B:B,$J367)="","",INDEX('Прайс и заказ'!B:B,$J367)))</f>
      </c>
      <c r="C367" s="64" t="str">
        <f>IF($J367=0,"",IF(INDEX('Прайс и заказ'!C:C,$J367)="","",INDEX('Прайс и заказ'!C:C,$J367)))</f>
      </c>
      <c r="D367" s="64" t="str">
        <f>IF($J367=0,"",IF(INDEX('Прайс и заказ'!D:D,$J367)="","",INDEX('Прайс и заказ'!D:D,$J367)))</f>
      </c>
      <c r="E367" s="61" t="str">
        <f>IF($J367=0,"",IF(INDEX('Прайс и заказ'!F:F,$J367)="","",INDEX('Прайс и заказ'!F:F,$J367)))</f>
      </c>
      <c r="F367" s="62" t="str">
        <f>IF($J367=0,"",IF(INDEX('Прайс и заказ'!I:I,$J367)="","",INDEX('Прайс и заказ'!I:I,$J367)))</f>
      </c>
      <c r="G367" s="63" t="str">
        <f>IF($J367=0,"",IF(INDEX('Прайс и заказ'!K:K,$J367)="","",INDEX('Прайс и заказ'!K:K,$J367)))</f>
      </c>
      <c r="H367" s="62" t="str">
        <f>IF($J367=0,"",IF(INDEX('Прайс и заказ'!L:L,$J367)="","",INDEX('Прайс и заказ'!L:L,$J367)))</f>
      </c>
      <c r="I367" s="13" t="str">
        <f>IF($J367=0,"",IF(INDEX('Прайс и заказ'!M:M,$J367)="","",INDEX('Прайс и заказ'!M:M,$J367)))</f>
      </c>
      <c r="J367" t="str">
        <f>IFERROR(MATCH(359,'Прайс и заказ'!$N$7:$N$623,0)+6,0)</f>
      </c>
      <c r="L367" t="str">
        <f>IF($J367=0,"",IF(INDEX('Прайс и заказ'!Q:Q,$J367)="","",INDEX('Прайс и заказ'!Q:Q,$J367)))</f>
      </c>
    </row>
    <row r="368" spans="1:12" customHeight="1" ht="40">
      <c r="A368" s="13" t="str">
        <f>IF($J368=0,"",IFERROR(_xlfn.IMAGE(INDEX('Прайс и заказ'!$O:$O,$J368)),""))</f>
      </c>
      <c r="B368" s="61" t="str">
        <f>IF($J368=0,"",IF(INDEX('Прайс и заказ'!B:B,$J368)="","",INDEX('Прайс и заказ'!B:B,$J368)))</f>
      </c>
      <c r="C368" s="64" t="str">
        <f>IF($J368=0,"",IF(INDEX('Прайс и заказ'!C:C,$J368)="","",INDEX('Прайс и заказ'!C:C,$J368)))</f>
      </c>
      <c r="D368" s="64" t="str">
        <f>IF($J368=0,"",IF(INDEX('Прайс и заказ'!D:D,$J368)="","",INDEX('Прайс и заказ'!D:D,$J368)))</f>
      </c>
      <c r="E368" s="61" t="str">
        <f>IF($J368=0,"",IF(INDEX('Прайс и заказ'!F:F,$J368)="","",INDEX('Прайс и заказ'!F:F,$J368)))</f>
      </c>
      <c r="F368" s="62" t="str">
        <f>IF($J368=0,"",IF(INDEX('Прайс и заказ'!I:I,$J368)="","",INDEX('Прайс и заказ'!I:I,$J368)))</f>
      </c>
      <c r="G368" s="63" t="str">
        <f>IF($J368=0,"",IF(INDEX('Прайс и заказ'!K:K,$J368)="","",INDEX('Прайс и заказ'!K:K,$J368)))</f>
      </c>
      <c r="H368" s="62" t="str">
        <f>IF($J368=0,"",IF(INDEX('Прайс и заказ'!L:L,$J368)="","",INDEX('Прайс и заказ'!L:L,$J368)))</f>
      </c>
      <c r="I368" s="13" t="str">
        <f>IF($J368=0,"",IF(INDEX('Прайс и заказ'!M:M,$J368)="","",INDEX('Прайс и заказ'!M:M,$J368)))</f>
      </c>
      <c r="J368" t="str">
        <f>IFERROR(MATCH(360,'Прайс и заказ'!$N$7:$N$623,0)+6,0)</f>
      </c>
      <c r="L368" t="str">
        <f>IF($J368=0,"",IF(INDEX('Прайс и заказ'!Q:Q,$J368)="","",INDEX('Прайс и заказ'!Q:Q,$J368)))</f>
      </c>
    </row>
    <row r="369" spans="1:12" customHeight="1" ht="40">
      <c r="A369" s="13" t="str">
        <f>IF($J369=0,"",IFERROR(_xlfn.IMAGE(INDEX('Прайс и заказ'!$O:$O,$J369)),""))</f>
      </c>
      <c r="B369" s="61" t="str">
        <f>IF($J369=0,"",IF(INDEX('Прайс и заказ'!B:B,$J369)="","",INDEX('Прайс и заказ'!B:B,$J369)))</f>
      </c>
      <c r="C369" s="64" t="str">
        <f>IF($J369=0,"",IF(INDEX('Прайс и заказ'!C:C,$J369)="","",INDEX('Прайс и заказ'!C:C,$J369)))</f>
      </c>
      <c r="D369" s="64" t="str">
        <f>IF($J369=0,"",IF(INDEX('Прайс и заказ'!D:D,$J369)="","",INDEX('Прайс и заказ'!D:D,$J369)))</f>
      </c>
      <c r="E369" s="61" t="str">
        <f>IF($J369=0,"",IF(INDEX('Прайс и заказ'!F:F,$J369)="","",INDEX('Прайс и заказ'!F:F,$J369)))</f>
      </c>
      <c r="F369" s="62" t="str">
        <f>IF($J369=0,"",IF(INDEX('Прайс и заказ'!I:I,$J369)="","",INDEX('Прайс и заказ'!I:I,$J369)))</f>
      </c>
      <c r="G369" s="63" t="str">
        <f>IF($J369=0,"",IF(INDEX('Прайс и заказ'!K:K,$J369)="","",INDEX('Прайс и заказ'!K:K,$J369)))</f>
      </c>
      <c r="H369" s="62" t="str">
        <f>IF($J369=0,"",IF(INDEX('Прайс и заказ'!L:L,$J369)="","",INDEX('Прайс и заказ'!L:L,$J369)))</f>
      </c>
      <c r="I369" s="13" t="str">
        <f>IF($J369=0,"",IF(INDEX('Прайс и заказ'!M:M,$J369)="","",INDEX('Прайс и заказ'!M:M,$J369)))</f>
      </c>
      <c r="J369" t="str">
        <f>IFERROR(MATCH(361,'Прайс и заказ'!$N$7:$N$623,0)+6,0)</f>
      </c>
      <c r="L369" t="str">
        <f>IF($J369=0,"",IF(INDEX('Прайс и заказ'!Q:Q,$J369)="","",INDEX('Прайс и заказ'!Q:Q,$J369)))</f>
      </c>
    </row>
    <row r="370" spans="1:12" customHeight="1" ht="40">
      <c r="A370" s="13" t="str">
        <f>IF($J370=0,"",IFERROR(_xlfn.IMAGE(INDEX('Прайс и заказ'!$O:$O,$J370)),""))</f>
      </c>
      <c r="B370" s="61" t="str">
        <f>IF($J370=0,"",IF(INDEX('Прайс и заказ'!B:B,$J370)="","",INDEX('Прайс и заказ'!B:B,$J370)))</f>
      </c>
      <c r="C370" s="64" t="str">
        <f>IF($J370=0,"",IF(INDEX('Прайс и заказ'!C:C,$J370)="","",INDEX('Прайс и заказ'!C:C,$J370)))</f>
      </c>
      <c r="D370" s="64" t="str">
        <f>IF($J370=0,"",IF(INDEX('Прайс и заказ'!D:D,$J370)="","",INDEX('Прайс и заказ'!D:D,$J370)))</f>
      </c>
      <c r="E370" s="61" t="str">
        <f>IF($J370=0,"",IF(INDEX('Прайс и заказ'!F:F,$J370)="","",INDEX('Прайс и заказ'!F:F,$J370)))</f>
      </c>
      <c r="F370" s="62" t="str">
        <f>IF($J370=0,"",IF(INDEX('Прайс и заказ'!I:I,$J370)="","",INDEX('Прайс и заказ'!I:I,$J370)))</f>
      </c>
      <c r="G370" s="63" t="str">
        <f>IF($J370=0,"",IF(INDEX('Прайс и заказ'!K:K,$J370)="","",INDEX('Прайс и заказ'!K:K,$J370)))</f>
      </c>
      <c r="H370" s="62" t="str">
        <f>IF($J370=0,"",IF(INDEX('Прайс и заказ'!L:L,$J370)="","",INDEX('Прайс и заказ'!L:L,$J370)))</f>
      </c>
      <c r="I370" s="13" t="str">
        <f>IF($J370=0,"",IF(INDEX('Прайс и заказ'!M:M,$J370)="","",INDEX('Прайс и заказ'!M:M,$J370)))</f>
      </c>
      <c r="J370" t="str">
        <f>IFERROR(MATCH(362,'Прайс и заказ'!$N$7:$N$623,0)+6,0)</f>
      </c>
      <c r="L370" t="str">
        <f>IF($J370=0,"",IF(INDEX('Прайс и заказ'!Q:Q,$J370)="","",INDEX('Прайс и заказ'!Q:Q,$J370)))</f>
      </c>
    </row>
    <row r="371" spans="1:12" customHeight="1" ht="40">
      <c r="A371" s="13" t="str">
        <f>IF($J371=0,"",IFERROR(_xlfn.IMAGE(INDEX('Прайс и заказ'!$O:$O,$J371)),""))</f>
      </c>
      <c r="B371" s="61" t="str">
        <f>IF($J371=0,"",IF(INDEX('Прайс и заказ'!B:B,$J371)="","",INDEX('Прайс и заказ'!B:B,$J371)))</f>
      </c>
      <c r="C371" s="64" t="str">
        <f>IF($J371=0,"",IF(INDEX('Прайс и заказ'!C:C,$J371)="","",INDEX('Прайс и заказ'!C:C,$J371)))</f>
      </c>
      <c r="D371" s="64" t="str">
        <f>IF($J371=0,"",IF(INDEX('Прайс и заказ'!D:D,$J371)="","",INDEX('Прайс и заказ'!D:D,$J371)))</f>
      </c>
      <c r="E371" s="61" t="str">
        <f>IF($J371=0,"",IF(INDEX('Прайс и заказ'!F:F,$J371)="","",INDEX('Прайс и заказ'!F:F,$J371)))</f>
      </c>
      <c r="F371" s="62" t="str">
        <f>IF($J371=0,"",IF(INDEX('Прайс и заказ'!I:I,$J371)="","",INDEX('Прайс и заказ'!I:I,$J371)))</f>
      </c>
      <c r="G371" s="63" t="str">
        <f>IF($J371=0,"",IF(INDEX('Прайс и заказ'!K:K,$J371)="","",INDEX('Прайс и заказ'!K:K,$J371)))</f>
      </c>
      <c r="H371" s="62" t="str">
        <f>IF($J371=0,"",IF(INDEX('Прайс и заказ'!L:L,$J371)="","",INDEX('Прайс и заказ'!L:L,$J371)))</f>
      </c>
      <c r="I371" s="13" t="str">
        <f>IF($J371=0,"",IF(INDEX('Прайс и заказ'!M:M,$J371)="","",INDEX('Прайс и заказ'!M:M,$J371)))</f>
      </c>
      <c r="J371" t="str">
        <f>IFERROR(MATCH(363,'Прайс и заказ'!$N$7:$N$623,0)+6,0)</f>
      </c>
      <c r="L371" t="str">
        <f>IF($J371=0,"",IF(INDEX('Прайс и заказ'!Q:Q,$J371)="","",INDEX('Прайс и заказ'!Q:Q,$J371)))</f>
      </c>
    </row>
    <row r="372" spans="1:12" customHeight="1" ht="40">
      <c r="A372" s="13" t="str">
        <f>IF($J372=0,"",IFERROR(_xlfn.IMAGE(INDEX('Прайс и заказ'!$O:$O,$J372)),""))</f>
      </c>
      <c r="B372" s="61" t="str">
        <f>IF($J372=0,"",IF(INDEX('Прайс и заказ'!B:B,$J372)="","",INDEX('Прайс и заказ'!B:B,$J372)))</f>
      </c>
      <c r="C372" s="64" t="str">
        <f>IF($J372=0,"",IF(INDEX('Прайс и заказ'!C:C,$J372)="","",INDEX('Прайс и заказ'!C:C,$J372)))</f>
      </c>
      <c r="D372" s="64" t="str">
        <f>IF($J372=0,"",IF(INDEX('Прайс и заказ'!D:D,$J372)="","",INDEX('Прайс и заказ'!D:D,$J372)))</f>
      </c>
      <c r="E372" s="61" t="str">
        <f>IF($J372=0,"",IF(INDEX('Прайс и заказ'!F:F,$J372)="","",INDEX('Прайс и заказ'!F:F,$J372)))</f>
      </c>
      <c r="F372" s="62" t="str">
        <f>IF($J372=0,"",IF(INDEX('Прайс и заказ'!I:I,$J372)="","",INDEX('Прайс и заказ'!I:I,$J372)))</f>
      </c>
      <c r="G372" s="63" t="str">
        <f>IF($J372=0,"",IF(INDEX('Прайс и заказ'!K:K,$J372)="","",INDEX('Прайс и заказ'!K:K,$J372)))</f>
      </c>
      <c r="H372" s="62" t="str">
        <f>IF($J372=0,"",IF(INDEX('Прайс и заказ'!L:L,$J372)="","",INDEX('Прайс и заказ'!L:L,$J372)))</f>
      </c>
      <c r="I372" s="13" t="str">
        <f>IF($J372=0,"",IF(INDEX('Прайс и заказ'!M:M,$J372)="","",INDEX('Прайс и заказ'!M:M,$J372)))</f>
      </c>
      <c r="J372" t="str">
        <f>IFERROR(MATCH(364,'Прайс и заказ'!$N$7:$N$623,0)+6,0)</f>
      </c>
      <c r="L372" t="str">
        <f>IF($J372=0,"",IF(INDEX('Прайс и заказ'!Q:Q,$J372)="","",INDEX('Прайс и заказ'!Q:Q,$J372)))</f>
      </c>
    </row>
    <row r="373" spans="1:12" customHeight="1" ht="40">
      <c r="A373" s="13" t="str">
        <f>IF($J373=0,"",IFERROR(_xlfn.IMAGE(INDEX('Прайс и заказ'!$O:$O,$J373)),""))</f>
      </c>
      <c r="B373" s="61" t="str">
        <f>IF($J373=0,"",IF(INDEX('Прайс и заказ'!B:B,$J373)="","",INDEX('Прайс и заказ'!B:B,$J373)))</f>
      </c>
      <c r="C373" s="64" t="str">
        <f>IF($J373=0,"",IF(INDEX('Прайс и заказ'!C:C,$J373)="","",INDEX('Прайс и заказ'!C:C,$J373)))</f>
      </c>
      <c r="D373" s="64" t="str">
        <f>IF($J373=0,"",IF(INDEX('Прайс и заказ'!D:D,$J373)="","",INDEX('Прайс и заказ'!D:D,$J373)))</f>
      </c>
      <c r="E373" s="61" t="str">
        <f>IF($J373=0,"",IF(INDEX('Прайс и заказ'!F:F,$J373)="","",INDEX('Прайс и заказ'!F:F,$J373)))</f>
      </c>
      <c r="F373" s="62" t="str">
        <f>IF($J373=0,"",IF(INDEX('Прайс и заказ'!I:I,$J373)="","",INDEX('Прайс и заказ'!I:I,$J373)))</f>
      </c>
      <c r="G373" s="63" t="str">
        <f>IF($J373=0,"",IF(INDEX('Прайс и заказ'!K:K,$J373)="","",INDEX('Прайс и заказ'!K:K,$J373)))</f>
      </c>
      <c r="H373" s="62" t="str">
        <f>IF($J373=0,"",IF(INDEX('Прайс и заказ'!L:L,$J373)="","",INDEX('Прайс и заказ'!L:L,$J373)))</f>
      </c>
      <c r="I373" s="13" t="str">
        <f>IF($J373=0,"",IF(INDEX('Прайс и заказ'!M:M,$J373)="","",INDEX('Прайс и заказ'!M:M,$J373)))</f>
      </c>
      <c r="J373" t="str">
        <f>IFERROR(MATCH(365,'Прайс и заказ'!$N$7:$N$623,0)+6,0)</f>
      </c>
      <c r="L373" t="str">
        <f>IF($J373=0,"",IF(INDEX('Прайс и заказ'!Q:Q,$J373)="","",INDEX('Прайс и заказ'!Q:Q,$J373)))</f>
      </c>
    </row>
    <row r="374" spans="1:12" customHeight="1" ht="40">
      <c r="A374" s="13" t="str">
        <f>IF($J374=0,"",IFERROR(_xlfn.IMAGE(INDEX('Прайс и заказ'!$O:$O,$J374)),""))</f>
      </c>
      <c r="B374" s="61" t="str">
        <f>IF($J374=0,"",IF(INDEX('Прайс и заказ'!B:B,$J374)="","",INDEX('Прайс и заказ'!B:B,$J374)))</f>
      </c>
      <c r="C374" s="64" t="str">
        <f>IF($J374=0,"",IF(INDEX('Прайс и заказ'!C:C,$J374)="","",INDEX('Прайс и заказ'!C:C,$J374)))</f>
      </c>
      <c r="D374" s="64" t="str">
        <f>IF($J374=0,"",IF(INDEX('Прайс и заказ'!D:D,$J374)="","",INDEX('Прайс и заказ'!D:D,$J374)))</f>
      </c>
      <c r="E374" s="61" t="str">
        <f>IF($J374=0,"",IF(INDEX('Прайс и заказ'!F:F,$J374)="","",INDEX('Прайс и заказ'!F:F,$J374)))</f>
      </c>
      <c r="F374" s="62" t="str">
        <f>IF($J374=0,"",IF(INDEX('Прайс и заказ'!I:I,$J374)="","",INDEX('Прайс и заказ'!I:I,$J374)))</f>
      </c>
      <c r="G374" s="63" t="str">
        <f>IF($J374=0,"",IF(INDEX('Прайс и заказ'!K:K,$J374)="","",INDEX('Прайс и заказ'!K:K,$J374)))</f>
      </c>
      <c r="H374" s="62" t="str">
        <f>IF($J374=0,"",IF(INDEX('Прайс и заказ'!L:L,$J374)="","",INDEX('Прайс и заказ'!L:L,$J374)))</f>
      </c>
      <c r="I374" s="13" t="str">
        <f>IF($J374=0,"",IF(INDEX('Прайс и заказ'!M:M,$J374)="","",INDEX('Прайс и заказ'!M:M,$J374)))</f>
      </c>
      <c r="J374" t="str">
        <f>IFERROR(MATCH(366,'Прайс и заказ'!$N$7:$N$623,0)+6,0)</f>
      </c>
      <c r="L374" t="str">
        <f>IF($J374=0,"",IF(INDEX('Прайс и заказ'!Q:Q,$J374)="","",INDEX('Прайс и заказ'!Q:Q,$J374)))</f>
      </c>
    </row>
    <row r="375" spans="1:12" customHeight="1" ht="40">
      <c r="A375" s="13" t="str">
        <f>IF($J375=0,"",IFERROR(_xlfn.IMAGE(INDEX('Прайс и заказ'!$O:$O,$J375)),""))</f>
      </c>
      <c r="B375" s="61" t="str">
        <f>IF($J375=0,"",IF(INDEX('Прайс и заказ'!B:B,$J375)="","",INDEX('Прайс и заказ'!B:B,$J375)))</f>
      </c>
      <c r="C375" s="64" t="str">
        <f>IF($J375=0,"",IF(INDEX('Прайс и заказ'!C:C,$J375)="","",INDEX('Прайс и заказ'!C:C,$J375)))</f>
      </c>
      <c r="D375" s="64" t="str">
        <f>IF($J375=0,"",IF(INDEX('Прайс и заказ'!D:D,$J375)="","",INDEX('Прайс и заказ'!D:D,$J375)))</f>
      </c>
      <c r="E375" s="61" t="str">
        <f>IF($J375=0,"",IF(INDEX('Прайс и заказ'!F:F,$J375)="","",INDEX('Прайс и заказ'!F:F,$J375)))</f>
      </c>
      <c r="F375" s="62" t="str">
        <f>IF($J375=0,"",IF(INDEX('Прайс и заказ'!I:I,$J375)="","",INDEX('Прайс и заказ'!I:I,$J375)))</f>
      </c>
      <c r="G375" s="63" t="str">
        <f>IF($J375=0,"",IF(INDEX('Прайс и заказ'!K:K,$J375)="","",INDEX('Прайс и заказ'!K:K,$J375)))</f>
      </c>
      <c r="H375" s="62" t="str">
        <f>IF($J375=0,"",IF(INDEX('Прайс и заказ'!L:L,$J375)="","",INDEX('Прайс и заказ'!L:L,$J375)))</f>
      </c>
      <c r="I375" s="13" t="str">
        <f>IF($J375=0,"",IF(INDEX('Прайс и заказ'!M:M,$J375)="","",INDEX('Прайс и заказ'!M:M,$J375)))</f>
      </c>
      <c r="J375" t="str">
        <f>IFERROR(MATCH(367,'Прайс и заказ'!$N$7:$N$623,0)+6,0)</f>
      </c>
      <c r="L375" t="str">
        <f>IF($J375=0,"",IF(INDEX('Прайс и заказ'!Q:Q,$J375)="","",INDEX('Прайс и заказ'!Q:Q,$J375)))</f>
      </c>
    </row>
    <row r="376" spans="1:12" customHeight="1" ht="40">
      <c r="A376" s="13" t="str">
        <f>IF($J376=0,"",IFERROR(_xlfn.IMAGE(INDEX('Прайс и заказ'!$O:$O,$J376)),""))</f>
      </c>
      <c r="B376" s="61" t="str">
        <f>IF($J376=0,"",IF(INDEX('Прайс и заказ'!B:B,$J376)="","",INDEX('Прайс и заказ'!B:B,$J376)))</f>
      </c>
      <c r="C376" s="64" t="str">
        <f>IF($J376=0,"",IF(INDEX('Прайс и заказ'!C:C,$J376)="","",INDEX('Прайс и заказ'!C:C,$J376)))</f>
      </c>
      <c r="D376" s="64" t="str">
        <f>IF($J376=0,"",IF(INDEX('Прайс и заказ'!D:D,$J376)="","",INDEX('Прайс и заказ'!D:D,$J376)))</f>
      </c>
      <c r="E376" s="61" t="str">
        <f>IF($J376=0,"",IF(INDEX('Прайс и заказ'!F:F,$J376)="","",INDEX('Прайс и заказ'!F:F,$J376)))</f>
      </c>
      <c r="F376" s="62" t="str">
        <f>IF($J376=0,"",IF(INDEX('Прайс и заказ'!I:I,$J376)="","",INDEX('Прайс и заказ'!I:I,$J376)))</f>
      </c>
      <c r="G376" s="63" t="str">
        <f>IF($J376=0,"",IF(INDEX('Прайс и заказ'!K:K,$J376)="","",INDEX('Прайс и заказ'!K:K,$J376)))</f>
      </c>
      <c r="H376" s="62" t="str">
        <f>IF($J376=0,"",IF(INDEX('Прайс и заказ'!L:L,$J376)="","",INDEX('Прайс и заказ'!L:L,$J376)))</f>
      </c>
      <c r="I376" s="13" t="str">
        <f>IF($J376=0,"",IF(INDEX('Прайс и заказ'!M:M,$J376)="","",INDEX('Прайс и заказ'!M:M,$J376)))</f>
      </c>
      <c r="J376" t="str">
        <f>IFERROR(MATCH(368,'Прайс и заказ'!$N$7:$N$623,0)+6,0)</f>
      </c>
      <c r="L376" t="str">
        <f>IF($J376=0,"",IF(INDEX('Прайс и заказ'!Q:Q,$J376)="","",INDEX('Прайс и заказ'!Q:Q,$J376)))</f>
      </c>
    </row>
    <row r="377" spans="1:12" customHeight="1" ht="40">
      <c r="A377" s="13" t="str">
        <f>IF($J377=0,"",IFERROR(_xlfn.IMAGE(INDEX('Прайс и заказ'!$O:$O,$J377)),""))</f>
      </c>
      <c r="B377" s="61" t="str">
        <f>IF($J377=0,"",IF(INDEX('Прайс и заказ'!B:B,$J377)="","",INDEX('Прайс и заказ'!B:B,$J377)))</f>
      </c>
      <c r="C377" s="64" t="str">
        <f>IF($J377=0,"",IF(INDEX('Прайс и заказ'!C:C,$J377)="","",INDEX('Прайс и заказ'!C:C,$J377)))</f>
      </c>
      <c r="D377" s="64" t="str">
        <f>IF($J377=0,"",IF(INDEX('Прайс и заказ'!D:D,$J377)="","",INDEX('Прайс и заказ'!D:D,$J377)))</f>
      </c>
      <c r="E377" s="61" t="str">
        <f>IF($J377=0,"",IF(INDEX('Прайс и заказ'!F:F,$J377)="","",INDEX('Прайс и заказ'!F:F,$J377)))</f>
      </c>
      <c r="F377" s="62" t="str">
        <f>IF($J377=0,"",IF(INDEX('Прайс и заказ'!I:I,$J377)="","",INDEX('Прайс и заказ'!I:I,$J377)))</f>
      </c>
      <c r="G377" s="63" t="str">
        <f>IF($J377=0,"",IF(INDEX('Прайс и заказ'!K:K,$J377)="","",INDEX('Прайс и заказ'!K:K,$J377)))</f>
      </c>
      <c r="H377" s="62" t="str">
        <f>IF($J377=0,"",IF(INDEX('Прайс и заказ'!L:L,$J377)="","",INDEX('Прайс и заказ'!L:L,$J377)))</f>
      </c>
      <c r="I377" s="13" t="str">
        <f>IF($J377=0,"",IF(INDEX('Прайс и заказ'!M:M,$J377)="","",INDEX('Прайс и заказ'!M:M,$J377)))</f>
      </c>
      <c r="J377" t="str">
        <f>IFERROR(MATCH(369,'Прайс и заказ'!$N$7:$N$623,0)+6,0)</f>
      </c>
      <c r="L377" t="str">
        <f>IF($J377=0,"",IF(INDEX('Прайс и заказ'!Q:Q,$J377)="","",INDEX('Прайс и заказ'!Q:Q,$J377)))</f>
      </c>
    </row>
    <row r="378" spans="1:12" customHeight="1" ht="40">
      <c r="A378" s="13" t="str">
        <f>IF($J378=0,"",IFERROR(_xlfn.IMAGE(INDEX('Прайс и заказ'!$O:$O,$J378)),""))</f>
      </c>
      <c r="B378" s="61" t="str">
        <f>IF($J378=0,"",IF(INDEX('Прайс и заказ'!B:B,$J378)="","",INDEX('Прайс и заказ'!B:B,$J378)))</f>
      </c>
      <c r="C378" s="64" t="str">
        <f>IF($J378=0,"",IF(INDEX('Прайс и заказ'!C:C,$J378)="","",INDEX('Прайс и заказ'!C:C,$J378)))</f>
      </c>
      <c r="D378" s="64" t="str">
        <f>IF($J378=0,"",IF(INDEX('Прайс и заказ'!D:D,$J378)="","",INDEX('Прайс и заказ'!D:D,$J378)))</f>
      </c>
      <c r="E378" s="61" t="str">
        <f>IF($J378=0,"",IF(INDEX('Прайс и заказ'!F:F,$J378)="","",INDEX('Прайс и заказ'!F:F,$J378)))</f>
      </c>
      <c r="F378" s="62" t="str">
        <f>IF($J378=0,"",IF(INDEX('Прайс и заказ'!I:I,$J378)="","",INDEX('Прайс и заказ'!I:I,$J378)))</f>
      </c>
      <c r="G378" s="63" t="str">
        <f>IF($J378=0,"",IF(INDEX('Прайс и заказ'!K:K,$J378)="","",INDEX('Прайс и заказ'!K:K,$J378)))</f>
      </c>
      <c r="H378" s="62" t="str">
        <f>IF($J378=0,"",IF(INDEX('Прайс и заказ'!L:L,$J378)="","",INDEX('Прайс и заказ'!L:L,$J378)))</f>
      </c>
      <c r="I378" s="13" t="str">
        <f>IF($J378=0,"",IF(INDEX('Прайс и заказ'!M:M,$J378)="","",INDEX('Прайс и заказ'!M:M,$J378)))</f>
      </c>
      <c r="J378" t="str">
        <f>IFERROR(MATCH(370,'Прайс и заказ'!$N$7:$N$623,0)+6,0)</f>
      </c>
      <c r="L378" t="str">
        <f>IF($J378=0,"",IF(INDEX('Прайс и заказ'!Q:Q,$J378)="","",INDEX('Прайс и заказ'!Q:Q,$J378)))</f>
      </c>
    </row>
    <row r="379" spans="1:12" customHeight="1" ht="40">
      <c r="A379" s="13" t="str">
        <f>IF($J379=0,"",IFERROR(_xlfn.IMAGE(INDEX('Прайс и заказ'!$O:$O,$J379)),""))</f>
      </c>
      <c r="B379" s="61" t="str">
        <f>IF($J379=0,"",IF(INDEX('Прайс и заказ'!B:B,$J379)="","",INDEX('Прайс и заказ'!B:B,$J379)))</f>
      </c>
      <c r="C379" s="64" t="str">
        <f>IF($J379=0,"",IF(INDEX('Прайс и заказ'!C:C,$J379)="","",INDEX('Прайс и заказ'!C:C,$J379)))</f>
      </c>
      <c r="D379" s="64" t="str">
        <f>IF($J379=0,"",IF(INDEX('Прайс и заказ'!D:D,$J379)="","",INDEX('Прайс и заказ'!D:D,$J379)))</f>
      </c>
      <c r="E379" s="61" t="str">
        <f>IF($J379=0,"",IF(INDEX('Прайс и заказ'!F:F,$J379)="","",INDEX('Прайс и заказ'!F:F,$J379)))</f>
      </c>
      <c r="F379" s="62" t="str">
        <f>IF($J379=0,"",IF(INDEX('Прайс и заказ'!I:I,$J379)="","",INDEX('Прайс и заказ'!I:I,$J379)))</f>
      </c>
      <c r="G379" s="63" t="str">
        <f>IF($J379=0,"",IF(INDEX('Прайс и заказ'!K:K,$J379)="","",INDEX('Прайс и заказ'!K:K,$J379)))</f>
      </c>
      <c r="H379" s="62" t="str">
        <f>IF($J379=0,"",IF(INDEX('Прайс и заказ'!L:L,$J379)="","",INDEX('Прайс и заказ'!L:L,$J379)))</f>
      </c>
      <c r="I379" s="13" t="str">
        <f>IF($J379=0,"",IF(INDEX('Прайс и заказ'!M:M,$J379)="","",INDEX('Прайс и заказ'!M:M,$J379)))</f>
      </c>
      <c r="J379" t="str">
        <f>IFERROR(MATCH(371,'Прайс и заказ'!$N$7:$N$623,0)+6,0)</f>
      </c>
      <c r="L379" t="str">
        <f>IF($J379=0,"",IF(INDEX('Прайс и заказ'!Q:Q,$J379)="","",INDEX('Прайс и заказ'!Q:Q,$J379)))</f>
      </c>
    </row>
    <row r="380" spans="1:12" customHeight="1" ht="40">
      <c r="A380" s="13" t="str">
        <f>IF($J380=0,"",IFERROR(_xlfn.IMAGE(INDEX('Прайс и заказ'!$O:$O,$J380)),""))</f>
      </c>
      <c r="B380" s="61" t="str">
        <f>IF($J380=0,"",IF(INDEX('Прайс и заказ'!B:B,$J380)="","",INDEX('Прайс и заказ'!B:B,$J380)))</f>
      </c>
      <c r="C380" s="64" t="str">
        <f>IF($J380=0,"",IF(INDEX('Прайс и заказ'!C:C,$J380)="","",INDEX('Прайс и заказ'!C:C,$J380)))</f>
      </c>
      <c r="D380" s="64" t="str">
        <f>IF($J380=0,"",IF(INDEX('Прайс и заказ'!D:D,$J380)="","",INDEX('Прайс и заказ'!D:D,$J380)))</f>
      </c>
      <c r="E380" s="61" t="str">
        <f>IF($J380=0,"",IF(INDEX('Прайс и заказ'!F:F,$J380)="","",INDEX('Прайс и заказ'!F:F,$J380)))</f>
      </c>
      <c r="F380" s="62" t="str">
        <f>IF($J380=0,"",IF(INDEX('Прайс и заказ'!I:I,$J380)="","",INDEX('Прайс и заказ'!I:I,$J380)))</f>
      </c>
      <c r="G380" s="63" t="str">
        <f>IF($J380=0,"",IF(INDEX('Прайс и заказ'!K:K,$J380)="","",INDEX('Прайс и заказ'!K:K,$J380)))</f>
      </c>
      <c r="H380" s="62" t="str">
        <f>IF($J380=0,"",IF(INDEX('Прайс и заказ'!L:L,$J380)="","",INDEX('Прайс и заказ'!L:L,$J380)))</f>
      </c>
      <c r="I380" s="13" t="str">
        <f>IF($J380=0,"",IF(INDEX('Прайс и заказ'!M:M,$J380)="","",INDEX('Прайс и заказ'!M:M,$J380)))</f>
      </c>
      <c r="J380" t="str">
        <f>IFERROR(MATCH(372,'Прайс и заказ'!$N$7:$N$623,0)+6,0)</f>
      </c>
      <c r="L380" t="str">
        <f>IF($J380=0,"",IF(INDEX('Прайс и заказ'!Q:Q,$J380)="","",INDEX('Прайс и заказ'!Q:Q,$J380)))</f>
      </c>
    </row>
    <row r="381" spans="1:12" customHeight="1" ht="40">
      <c r="A381" s="13" t="str">
        <f>IF($J381=0,"",IFERROR(_xlfn.IMAGE(INDEX('Прайс и заказ'!$O:$O,$J381)),""))</f>
      </c>
      <c r="B381" s="61" t="str">
        <f>IF($J381=0,"",IF(INDEX('Прайс и заказ'!B:B,$J381)="","",INDEX('Прайс и заказ'!B:B,$J381)))</f>
      </c>
      <c r="C381" s="64" t="str">
        <f>IF($J381=0,"",IF(INDEX('Прайс и заказ'!C:C,$J381)="","",INDEX('Прайс и заказ'!C:C,$J381)))</f>
      </c>
      <c r="D381" s="64" t="str">
        <f>IF($J381=0,"",IF(INDEX('Прайс и заказ'!D:D,$J381)="","",INDEX('Прайс и заказ'!D:D,$J381)))</f>
      </c>
      <c r="E381" s="61" t="str">
        <f>IF($J381=0,"",IF(INDEX('Прайс и заказ'!F:F,$J381)="","",INDEX('Прайс и заказ'!F:F,$J381)))</f>
      </c>
      <c r="F381" s="62" t="str">
        <f>IF($J381=0,"",IF(INDEX('Прайс и заказ'!I:I,$J381)="","",INDEX('Прайс и заказ'!I:I,$J381)))</f>
      </c>
      <c r="G381" s="63" t="str">
        <f>IF($J381=0,"",IF(INDEX('Прайс и заказ'!K:K,$J381)="","",INDEX('Прайс и заказ'!K:K,$J381)))</f>
      </c>
      <c r="H381" s="62" t="str">
        <f>IF($J381=0,"",IF(INDEX('Прайс и заказ'!L:L,$J381)="","",INDEX('Прайс и заказ'!L:L,$J381)))</f>
      </c>
      <c r="I381" s="13" t="str">
        <f>IF($J381=0,"",IF(INDEX('Прайс и заказ'!M:M,$J381)="","",INDEX('Прайс и заказ'!M:M,$J381)))</f>
      </c>
      <c r="J381" t="str">
        <f>IFERROR(MATCH(373,'Прайс и заказ'!$N$7:$N$623,0)+6,0)</f>
      </c>
      <c r="L381" t="str">
        <f>IF($J381=0,"",IF(INDEX('Прайс и заказ'!Q:Q,$J381)="","",INDEX('Прайс и заказ'!Q:Q,$J381)))</f>
      </c>
    </row>
    <row r="382" spans="1:12" customHeight="1" ht="40">
      <c r="A382" s="13" t="str">
        <f>IF($J382=0,"",IFERROR(_xlfn.IMAGE(INDEX('Прайс и заказ'!$O:$O,$J382)),""))</f>
      </c>
      <c r="B382" s="61" t="str">
        <f>IF($J382=0,"",IF(INDEX('Прайс и заказ'!B:B,$J382)="","",INDEX('Прайс и заказ'!B:B,$J382)))</f>
      </c>
      <c r="C382" s="64" t="str">
        <f>IF($J382=0,"",IF(INDEX('Прайс и заказ'!C:C,$J382)="","",INDEX('Прайс и заказ'!C:C,$J382)))</f>
      </c>
      <c r="D382" s="64" t="str">
        <f>IF($J382=0,"",IF(INDEX('Прайс и заказ'!D:D,$J382)="","",INDEX('Прайс и заказ'!D:D,$J382)))</f>
      </c>
      <c r="E382" s="61" t="str">
        <f>IF($J382=0,"",IF(INDEX('Прайс и заказ'!F:F,$J382)="","",INDEX('Прайс и заказ'!F:F,$J382)))</f>
      </c>
      <c r="F382" s="62" t="str">
        <f>IF($J382=0,"",IF(INDEX('Прайс и заказ'!I:I,$J382)="","",INDEX('Прайс и заказ'!I:I,$J382)))</f>
      </c>
      <c r="G382" s="63" t="str">
        <f>IF($J382=0,"",IF(INDEX('Прайс и заказ'!K:K,$J382)="","",INDEX('Прайс и заказ'!K:K,$J382)))</f>
      </c>
      <c r="H382" s="62" t="str">
        <f>IF($J382=0,"",IF(INDEX('Прайс и заказ'!L:L,$J382)="","",INDEX('Прайс и заказ'!L:L,$J382)))</f>
      </c>
      <c r="I382" s="13" t="str">
        <f>IF($J382=0,"",IF(INDEX('Прайс и заказ'!M:M,$J382)="","",INDEX('Прайс и заказ'!M:M,$J382)))</f>
      </c>
      <c r="J382" t="str">
        <f>IFERROR(MATCH(374,'Прайс и заказ'!$N$7:$N$623,0)+6,0)</f>
      </c>
      <c r="L382" t="str">
        <f>IF($J382=0,"",IF(INDEX('Прайс и заказ'!Q:Q,$J382)="","",INDEX('Прайс и заказ'!Q:Q,$J382)))</f>
      </c>
    </row>
    <row r="383" spans="1:12" customHeight="1" ht="40">
      <c r="A383" s="13" t="str">
        <f>IF($J383=0,"",IFERROR(_xlfn.IMAGE(INDEX('Прайс и заказ'!$O:$O,$J383)),""))</f>
      </c>
      <c r="B383" s="61" t="str">
        <f>IF($J383=0,"",IF(INDEX('Прайс и заказ'!B:B,$J383)="","",INDEX('Прайс и заказ'!B:B,$J383)))</f>
      </c>
      <c r="C383" s="64" t="str">
        <f>IF($J383=0,"",IF(INDEX('Прайс и заказ'!C:C,$J383)="","",INDEX('Прайс и заказ'!C:C,$J383)))</f>
      </c>
      <c r="D383" s="64" t="str">
        <f>IF($J383=0,"",IF(INDEX('Прайс и заказ'!D:D,$J383)="","",INDEX('Прайс и заказ'!D:D,$J383)))</f>
      </c>
      <c r="E383" s="61" t="str">
        <f>IF($J383=0,"",IF(INDEX('Прайс и заказ'!F:F,$J383)="","",INDEX('Прайс и заказ'!F:F,$J383)))</f>
      </c>
      <c r="F383" s="62" t="str">
        <f>IF($J383=0,"",IF(INDEX('Прайс и заказ'!I:I,$J383)="","",INDEX('Прайс и заказ'!I:I,$J383)))</f>
      </c>
      <c r="G383" s="63" t="str">
        <f>IF($J383=0,"",IF(INDEX('Прайс и заказ'!K:K,$J383)="","",INDEX('Прайс и заказ'!K:K,$J383)))</f>
      </c>
      <c r="H383" s="62" t="str">
        <f>IF($J383=0,"",IF(INDEX('Прайс и заказ'!L:L,$J383)="","",INDEX('Прайс и заказ'!L:L,$J383)))</f>
      </c>
      <c r="I383" s="13" t="str">
        <f>IF($J383=0,"",IF(INDEX('Прайс и заказ'!M:M,$J383)="","",INDEX('Прайс и заказ'!M:M,$J383)))</f>
      </c>
      <c r="J383" t="str">
        <f>IFERROR(MATCH(375,'Прайс и заказ'!$N$7:$N$623,0)+6,0)</f>
      </c>
      <c r="L383" t="str">
        <f>IF($J383=0,"",IF(INDEX('Прайс и заказ'!Q:Q,$J383)="","",INDEX('Прайс и заказ'!Q:Q,$J383)))</f>
      </c>
    </row>
    <row r="384" spans="1:12" customHeight="1" ht="40">
      <c r="A384" s="13" t="str">
        <f>IF($J384=0,"",IFERROR(_xlfn.IMAGE(INDEX('Прайс и заказ'!$O:$O,$J384)),""))</f>
      </c>
      <c r="B384" s="61" t="str">
        <f>IF($J384=0,"",IF(INDEX('Прайс и заказ'!B:B,$J384)="","",INDEX('Прайс и заказ'!B:B,$J384)))</f>
      </c>
      <c r="C384" s="64" t="str">
        <f>IF($J384=0,"",IF(INDEX('Прайс и заказ'!C:C,$J384)="","",INDEX('Прайс и заказ'!C:C,$J384)))</f>
      </c>
      <c r="D384" s="64" t="str">
        <f>IF($J384=0,"",IF(INDEX('Прайс и заказ'!D:D,$J384)="","",INDEX('Прайс и заказ'!D:D,$J384)))</f>
      </c>
      <c r="E384" s="61" t="str">
        <f>IF($J384=0,"",IF(INDEX('Прайс и заказ'!F:F,$J384)="","",INDEX('Прайс и заказ'!F:F,$J384)))</f>
      </c>
      <c r="F384" s="62" t="str">
        <f>IF($J384=0,"",IF(INDEX('Прайс и заказ'!I:I,$J384)="","",INDEX('Прайс и заказ'!I:I,$J384)))</f>
      </c>
      <c r="G384" s="63" t="str">
        <f>IF($J384=0,"",IF(INDEX('Прайс и заказ'!K:K,$J384)="","",INDEX('Прайс и заказ'!K:K,$J384)))</f>
      </c>
      <c r="H384" s="62" t="str">
        <f>IF($J384=0,"",IF(INDEX('Прайс и заказ'!L:L,$J384)="","",INDEX('Прайс и заказ'!L:L,$J384)))</f>
      </c>
      <c r="I384" s="13" t="str">
        <f>IF($J384=0,"",IF(INDEX('Прайс и заказ'!M:M,$J384)="","",INDEX('Прайс и заказ'!M:M,$J384)))</f>
      </c>
      <c r="J384" t="str">
        <f>IFERROR(MATCH(376,'Прайс и заказ'!$N$7:$N$623,0)+6,0)</f>
      </c>
      <c r="L384" t="str">
        <f>IF($J384=0,"",IF(INDEX('Прайс и заказ'!Q:Q,$J384)="","",INDEX('Прайс и заказ'!Q:Q,$J384)))</f>
      </c>
    </row>
    <row r="385" spans="1:12" customHeight="1" ht="40">
      <c r="A385" s="13" t="str">
        <f>IF($J385=0,"",IFERROR(_xlfn.IMAGE(INDEX('Прайс и заказ'!$O:$O,$J385)),""))</f>
      </c>
      <c r="B385" s="61" t="str">
        <f>IF($J385=0,"",IF(INDEX('Прайс и заказ'!B:B,$J385)="","",INDEX('Прайс и заказ'!B:B,$J385)))</f>
      </c>
      <c r="C385" s="64" t="str">
        <f>IF($J385=0,"",IF(INDEX('Прайс и заказ'!C:C,$J385)="","",INDEX('Прайс и заказ'!C:C,$J385)))</f>
      </c>
      <c r="D385" s="64" t="str">
        <f>IF($J385=0,"",IF(INDEX('Прайс и заказ'!D:D,$J385)="","",INDEX('Прайс и заказ'!D:D,$J385)))</f>
      </c>
      <c r="E385" s="61" t="str">
        <f>IF($J385=0,"",IF(INDEX('Прайс и заказ'!F:F,$J385)="","",INDEX('Прайс и заказ'!F:F,$J385)))</f>
      </c>
      <c r="F385" s="62" t="str">
        <f>IF($J385=0,"",IF(INDEX('Прайс и заказ'!I:I,$J385)="","",INDEX('Прайс и заказ'!I:I,$J385)))</f>
      </c>
      <c r="G385" s="63" t="str">
        <f>IF($J385=0,"",IF(INDEX('Прайс и заказ'!K:K,$J385)="","",INDEX('Прайс и заказ'!K:K,$J385)))</f>
      </c>
      <c r="H385" s="62" t="str">
        <f>IF($J385=0,"",IF(INDEX('Прайс и заказ'!L:L,$J385)="","",INDEX('Прайс и заказ'!L:L,$J385)))</f>
      </c>
      <c r="I385" s="13" t="str">
        <f>IF($J385=0,"",IF(INDEX('Прайс и заказ'!M:M,$J385)="","",INDEX('Прайс и заказ'!M:M,$J385)))</f>
      </c>
      <c r="J385" t="str">
        <f>IFERROR(MATCH(377,'Прайс и заказ'!$N$7:$N$623,0)+6,0)</f>
      </c>
      <c r="L385" t="str">
        <f>IF($J385=0,"",IF(INDEX('Прайс и заказ'!Q:Q,$J385)="","",INDEX('Прайс и заказ'!Q:Q,$J385)))</f>
      </c>
    </row>
    <row r="386" spans="1:12" customHeight="1" ht="40">
      <c r="A386" s="13" t="str">
        <f>IF($J386=0,"",IFERROR(_xlfn.IMAGE(INDEX('Прайс и заказ'!$O:$O,$J386)),""))</f>
      </c>
      <c r="B386" s="61" t="str">
        <f>IF($J386=0,"",IF(INDEX('Прайс и заказ'!B:B,$J386)="","",INDEX('Прайс и заказ'!B:B,$J386)))</f>
      </c>
      <c r="C386" s="64" t="str">
        <f>IF($J386=0,"",IF(INDEX('Прайс и заказ'!C:C,$J386)="","",INDEX('Прайс и заказ'!C:C,$J386)))</f>
      </c>
      <c r="D386" s="64" t="str">
        <f>IF($J386=0,"",IF(INDEX('Прайс и заказ'!D:D,$J386)="","",INDEX('Прайс и заказ'!D:D,$J386)))</f>
      </c>
      <c r="E386" s="61" t="str">
        <f>IF($J386=0,"",IF(INDEX('Прайс и заказ'!F:F,$J386)="","",INDEX('Прайс и заказ'!F:F,$J386)))</f>
      </c>
      <c r="F386" s="62" t="str">
        <f>IF($J386=0,"",IF(INDEX('Прайс и заказ'!I:I,$J386)="","",INDEX('Прайс и заказ'!I:I,$J386)))</f>
      </c>
      <c r="G386" s="63" t="str">
        <f>IF($J386=0,"",IF(INDEX('Прайс и заказ'!K:K,$J386)="","",INDEX('Прайс и заказ'!K:K,$J386)))</f>
      </c>
      <c r="H386" s="62" t="str">
        <f>IF($J386=0,"",IF(INDEX('Прайс и заказ'!L:L,$J386)="","",INDEX('Прайс и заказ'!L:L,$J386)))</f>
      </c>
      <c r="I386" s="13" t="str">
        <f>IF($J386=0,"",IF(INDEX('Прайс и заказ'!M:M,$J386)="","",INDEX('Прайс и заказ'!M:M,$J386)))</f>
      </c>
      <c r="J386" t="str">
        <f>IFERROR(MATCH(378,'Прайс и заказ'!$N$7:$N$623,0)+6,0)</f>
      </c>
      <c r="L386" t="str">
        <f>IF($J386=0,"",IF(INDEX('Прайс и заказ'!Q:Q,$J386)="","",INDEX('Прайс и заказ'!Q:Q,$J386)))</f>
      </c>
    </row>
    <row r="387" spans="1:12" customHeight="1" ht="40">
      <c r="A387" s="13" t="str">
        <f>IF($J387=0,"",IFERROR(_xlfn.IMAGE(INDEX('Прайс и заказ'!$O:$O,$J387)),""))</f>
      </c>
      <c r="B387" s="61" t="str">
        <f>IF($J387=0,"",IF(INDEX('Прайс и заказ'!B:B,$J387)="","",INDEX('Прайс и заказ'!B:B,$J387)))</f>
      </c>
      <c r="C387" s="64" t="str">
        <f>IF($J387=0,"",IF(INDEX('Прайс и заказ'!C:C,$J387)="","",INDEX('Прайс и заказ'!C:C,$J387)))</f>
      </c>
      <c r="D387" s="64" t="str">
        <f>IF($J387=0,"",IF(INDEX('Прайс и заказ'!D:D,$J387)="","",INDEX('Прайс и заказ'!D:D,$J387)))</f>
      </c>
      <c r="E387" s="61" t="str">
        <f>IF($J387=0,"",IF(INDEX('Прайс и заказ'!F:F,$J387)="","",INDEX('Прайс и заказ'!F:F,$J387)))</f>
      </c>
      <c r="F387" s="62" t="str">
        <f>IF($J387=0,"",IF(INDEX('Прайс и заказ'!I:I,$J387)="","",INDEX('Прайс и заказ'!I:I,$J387)))</f>
      </c>
      <c r="G387" s="63" t="str">
        <f>IF($J387=0,"",IF(INDEX('Прайс и заказ'!K:K,$J387)="","",INDEX('Прайс и заказ'!K:K,$J387)))</f>
      </c>
      <c r="H387" s="62" t="str">
        <f>IF($J387=0,"",IF(INDEX('Прайс и заказ'!L:L,$J387)="","",INDEX('Прайс и заказ'!L:L,$J387)))</f>
      </c>
      <c r="I387" s="13" t="str">
        <f>IF($J387=0,"",IF(INDEX('Прайс и заказ'!M:M,$J387)="","",INDEX('Прайс и заказ'!M:M,$J387)))</f>
      </c>
      <c r="J387" t="str">
        <f>IFERROR(MATCH(379,'Прайс и заказ'!$N$7:$N$623,0)+6,0)</f>
      </c>
      <c r="L387" t="str">
        <f>IF($J387=0,"",IF(INDEX('Прайс и заказ'!Q:Q,$J387)="","",INDEX('Прайс и заказ'!Q:Q,$J387)))</f>
      </c>
    </row>
    <row r="388" spans="1:12" customHeight="1" ht="40">
      <c r="A388" s="13" t="str">
        <f>IF($J388=0,"",IFERROR(_xlfn.IMAGE(INDEX('Прайс и заказ'!$O:$O,$J388)),""))</f>
      </c>
      <c r="B388" s="61" t="str">
        <f>IF($J388=0,"",IF(INDEX('Прайс и заказ'!B:B,$J388)="","",INDEX('Прайс и заказ'!B:B,$J388)))</f>
      </c>
      <c r="C388" s="64" t="str">
        <f>IF($J388=0,"",IF(INDEX('Прайс и заказ'!C:C,$J388)="","",INDEX('Прайс и заказ'!C:C,$J388)))</f>
      </c>
      <c r="D388" s="64" t="str">
        <f>IF($J388=0,"",IF(INDEX('Прайс и заказ'!D:D,$J388)="","",INDEX('Прайс и заказ'!D:D,$J388)))</f>
      </c>
      <c r="E388" s="61" t="str">
        <f>IF($J388=0,"",IF(INDEX('Прайс и заказ'!F:F,$J388)="","",INDEX('Прайс и заказ'!F:F,$J388)))</f>
      </c>
      <c r="F388" s="62" t="str">
        <f>IF($J388=0,"",IF(INDEX('Прайс и заказ'!I:I,$J388)="","",INDEX('Прайс и заказ'!I:I,$J388)))</f>
      </c>
      <c r="G388" s="63" t="str">
        <f>IF($J388=0,"",IF(INDEX('Прайс и заказ'!K:K,$J388)="","",INDEX('Прайс и заказ'!K:K,$J388)))</f>
      </c>
      <c r="H388" s="62" t="str">
        <f>IF($J388=0,"",IF(INDEX('Прайс и заказ'!L:L,$J388)="","",INDEX('Прайс и заказ'!L:L,$J388)))</f>
      </c>
      <c r="I388" s="13" t="str">
        <f>IF($J388=0,"",IF(INDEX('Прайс и заказ'!M:M,$J388)="","",INDEX('Прайс и заказ'!M:M,$J388)))</f>
      </c>
      <c r="J388" t="str">
        <f>IFERROR(MATCH(380,'Прайс и заказ'!$N$7:$N$623,0)+6,0)</f>
      </c>
      <c r="L388" t="str">
        <f>IF($J388=0,"",IF(INDEX('Прайс и заказ'!Q:Q,$J388)="","",INDEX('Прайс и заказ'!Q:Q,$J388)))</f>
      </c>
    </row>
    <row r="389" spans="1:12" customHeight="1" ht="40">
      <c r="A389" s="13" t="str">
        <f>IF($J389=0,"",IFERROR(_xlfn.IMAGE(INDEX('Прайс и заказ'!$O:$O,$J389)),""))</f>
      </c>
      <c r="B389" s="61" t="str">
        <f>IF($J389=0,"",IF(INDEX('Прайс и заказ'!B:B,$J389)="","",INDEX('Прайс и заказ'!B:B,$J389)))</f>
      </c>
      <c r="C389" s="64" t="str">
        <f>IF($J389=0,"",IF(INDEX('Прайс и заказ'!C:C,$J389)="","",INDEX('Прайс и заказ'!C:C,$J389)))</f>
      </c>
      <c r="D389" s="64" t="str">
        <f>IF($J389=0,"",IF(INDEX('Прайс и заказ'!D:D,$J389)="","",INDEX('Прайс и заказ'!D:D,$J389)))</f>
      </c>
      <c r="E389" s="61" t="str">
        <f>IF($J389=0,"",IF(INDEX('Прайс и заказ'!F:F,$J389)="","",INDEX('Прайс и заказ'!F:F,$J389)))</f>
      </c>
      <c r="F389" s="62" t="str">
        <f>IF($J389=0,"",IF(INDEX('Прайс и заказ'!I:I,$J389)="","",INDEX('Прайс и заказ'!I:I,$J389)))</f>
      </c>
      <c r="G389" s="63" t="str">
        <f>IF($J389=0,"",IF(INDEX('Прайс и заказ'!K:K,$J389)="","",INDEX('Прайс и заказ'!K:K,$J389)))</f>
      </c>
      <c r="H389" s="62" t="str">
        <f>IF($J389=0,"",IF(INDEX('Прайс и заказ'!L:L,$J389)="","",INDEX('Прайс и заказ'!L:L,$J389)))</f>
      </c>
      <c r="I389" s="13" t="str">
        <f>IF($J389=0,"",IF(INDEX('Прайс и заказ'!M:M,$J389)="","",INDEX('Прайс и заказ'!M:M,$J389)))</f>
      </c>
      <c r="J389" t="str">
        <f>IFERROR(MATCH(381,'Прайс и заказ'!$N$7:$N$623,0)+6,0)</f>
      </c>
      <c r="L389" t="str">
        <f>IF($J389=0,"",IF(INDEX('Прайс и заказ'!Q:Q,$J389)="","",INDEX('Прайс и заказ'!Q:Q,$J389)))</f>
      </c>
    </row>
    <row r="390" spans="1:12" customHeight="1" ht="40">
      <c r="A390" s="13" t="str">
        <f>IF($J390=0,"",IFERROR(_xlfn.IMAGE(INDEX('Прайс и заказ'!$O:$O,$J390)),""))</f>
      </c>
      <c r="B390" s="61" t="str">
        <f>IF($J390=0,"",IF(INDEX('Прайс и заказ'!B:B,$J390)="","",INDEX('Прайс и заказ'!B:B,$J390)))</f>
      </c>
      <c r="C390" s="64" t="str">
        <f>IF($J390=0,"",IF(INDEX('Прайс и заказ'!C:C,$J390)="","",INDEX('Прайс и заказ'!C:C,$J390)))</f>
      </c>
      <c r="D390" s="64" t="str">
        <f>IF($J390=0,"",IF(INDEX('Прайс и заказ'!D:D,$J390)="","",INDEX('Прайс и заказ'!D:D,$J390)))</f>
      </c>
      <c r="E390" s="61" t="str">
        <f>IF($J390=0,"",IF(INDEX('Прайс и заказ'!F:F,$J390)="","",INDEX('Прайс и заказ'!F:F,$J390)))</f>
      </c>
      <c r="F390" s="62" t="str">
        <f>IF($J390=0,"",IF(INDEX('Прайс и заказ'!I:I,$J390)="","",INDEX('Прайс и заказ'!I:I,$J390)))</f>
      </c>
      <c r="G390" s="63" t="str">
        <f>IF($J390=0,"",IF(INDEX('Прайс и заказ'!K:K,$J390)="","",INDEX('Прайс и заказ'!K:K,$J390)))</f>
      </c>
      <c r="H390" s="62" t="str">
        <f>IF($J390=0,"",IF(INDEX('Прайс и заказ'!L:L,$J390)="","",INDEX('Прайс и заказ'!L:L,$J390)))</f>
      </c>
      <c r="I390" s="13" t="str">
        <f>IF($J390=0,"",IF(INDEX('Прайс и заказ'!M:M,$J390)="","",INDEX('Прайс и заказ'!M:M,$J390)))</f>
      </c>
      <c r="J390" t="str">
        <f>IFERROR(MATCH(382,'Прайс и заказ'!$N$7:$N$623,0)+6,0)</f>
      </c>
      <c r="L390" t="str">
        <f>IF($J390=0,"",IF(INDEX('Прайс и заказ'!Q:Q,$J390)="","",INDEX('Прайс и заказ'!Q:Q,$J390)))</f>
      </c>
    </row>
    <row r="391" spans="1:12" customHeight="1" ht="40">
      <c r="A391" s="13" t="str">
        <f>IF($J391=0,"",IFERROR(_xlfn.IMAGE(INDEX('Прайс и заказ'!$O:$O,$J391)),""))</f>
      </c>
      <c r="B391" s="61" t="str">
        <f>IF($J391=0,"",IF(INDEX('Прайс и заказ'!B:B,$J391)="","",INDEX('Прайс и заказ'!B:B,$J391)))</f>
      </c>
      <c r="C391" s="64" t="str">
        <f>IF($J391=0,"",IF(INDEX('Прайс и заказ'!C:C,$J391)="","",INDEX('Прайс и заказ'!C:C,$J391)))</f>
      </c>
      <c r="D391" s="64" t="str">
        <f>IF($J391=0,"",IF(INDEX('Прайс и заказ'!D:D,$J391)="","",INDEX('Прайс и заказ'!D:D,$J391)))</f>
      </c>
      <c r="E391" s="61" t="str">
        <f>IF($J391=0,"",IF(INDEX('Прайс и заказ'!F:F,$J391)="","",INDEX('Прайс и заказ'!F:F,$J391)))</f>
      </c>
      <c r="F391" s="62" t="str">
        <f>IF($J391=0,"",IF(INDEX('Прайс и заказ'!I:I,$J391)="","",INDEX('Прайс и заказ'!I:I,$J391)))</f>
      </c>
      <c r="G391" s="63" t="str">
        <f>IF($J391=0,"",IF(INDEX('Прайс и заказ'!K:K,$J391)="","",INDEX('Прайс и заказ'!K:K,$J391)))</f>
      </c>
      <c r="H391" s="62" t="str">
        <f>IF($J391=0,"",IF(INDEX('Прайс и заказ'!L:L,$J391)="","",INDEX('Прайс и заказ'!L:L,$J391)))</f>
      </c>
      <c r="I391" s="13" t="str">
        <f>IF($J391=0,"",IF(INDEX('Прайс и заказ'!M:M,$J391)="","",INDEX('Прайс и заказ'!M:M,$J391)))</f>
      </c>
      <c r="J391" t="str">
        <f>IFERROR(MATCH(383,'Прайс и заказ'!$N$7:$N$623,0)+6,0)</f>
      </c>
      <c r="L391" t="str">
        <f>IF($J391=0,"",IF(INDEX('Прайс и заказ'!Q:Q,$J391)="","",INDEX('Прайс и заказ'!Q:Q,$J391)))</f>
      </c>
    </row>
    <row r="392" spans="1:12" customHeight="1" ht="40">
      <c r="A392" s="13" t="str">
        <f>IF($J392=0,"",IFERROR(_xlfn.IMAGE(INDEX('Прайс и заказ'!$O:$O,$J392)),""))</f>
      </c>
      <c r="B392" s="61" t="str">
        <f>IF($J392=0,"",IF(INDEX('Прайс и заказ'!B:B,$J392)="","",INDEX('Прайс и заказ'!B:B,$J392)))</f>
      </c>
      <c r="C392" s="64" t="str">
        <f>IF($J392=0,"",IF(INDEX('Прайс и заказ'!C:C,$J392)="","",INDEX('Прайс и заказ'!C:C,$J392)))</f>
      </c>
      <c r="D392" s="64" t="str">
        <f>IF($J392=0,"",IF(INDEX('Прайс и заказ'!D:D,$J392)="","",INDEX('Прайс и заказ'!D:D,$J392)))</f>
      </c>
      <c r="E392" s="61" t="str">
        <f>IF($J392=0,"",IF(INDEX('Прайс и заказ'!F:F,$J392)="","",INDEX('Прайс и заказ'!F:F,$J392)))</f>
      </c>
      <c r="F392" s="62" t="str">
        <f>IF($J392=0,"",IF(INDEX('Прайс и заказ'!I:I,$J392)="","",INDEX('Прайс и заказ'!I:I,$J392)))</f>
      </c>
      <c r="G392" s="63" t="str">
        <f>IF($J392=0,"",IF(INDEX('Прайс и заказ'!K:K,$J392)="","",INDEX('Прайс и заказ'!K:K,$J392)))</f>
      </c>
      <c r="H392" s="62" t="str">
        <f>IF($J392=0,"",IF(INDEX('Прайс и заказ'!L:L,$J392)="","",INDEX('Прайс и заказ'!L:L,$J392)))</f>
      </c>
      <c r="I392" s="13" t="str">
        <f>IF($J392=0,"",IF(INDEX('Прайс и заказ'!M:M,$J392)="","",INDEX('Прайс и заказ'!M:M,$J392)))</f>
      </c>
      <c r="J392" t="str">
        <f>IFERROR(MATCH(384,'Прайс и заказ'!$N$7:$N$623,0)+6,0)</f>
      </c>
      <c r="L392" t="str">
        <f>IF($J392=0,"",IF(INDEX('Прайс и заказ'!Q:Q,$J392)="","",INDEX('Прайс и заказ'!Q:Q,$J392)))</f>
      </c>
    </row>
    <row r="393" spans="1:12" customHeight="1" ht="40">
      <c r="A393" s="13" t="str">
        <f>IF($J393=0,"",IFERROR(_xlfn.IMAGE(INDEX('Прайс и заказ'!$O:$O,$J393)),""))</f>
      </c>
      <c r="B393" s="61" t="str">
        <f>IF($J393=0,"",IF(INDEX('Прайс и заказ'!B:B,$J393)="","",INDEX('Прайс и заказ'!B:B,$J393)))</f>
      </c>
      <c r="C393" s="64" t="str">
        <f>IF($J393=0,"",IF(INDEX('Прайс и заказ'!C:C,$J393)="","",INDEX('Прайс и заказ'!C:C,$J393)))</f>
      </c>
      <c r="D393" s="64" t="str">
        <f>IF($J393=0,"",IF(INDEX('Прайс и заказ'!D:D,$J393)="","",INDEX('Прайс и заказ'!D:D,$J393)))</f>
      </c>
      <c r="E393" s="61" t="str">
        <f>IF($J393=0,"",IF(INDEX('Прайс и заказ'!F:F,$J393)="","",INDEX('Прайс и заказ'!F:F,$J393)))</f>
      </c>
      <c r="F393" s="62" t="str">
        <f>IF($J393=0,"",IF(INDEX('Прайс и заказ'!I:I,$J393)="","",INDEX('Прайс и заказ'!I:I,$J393)))</f>
      </c>
      <c r="G393" s="63" t="str">
        <f>IF($J393=0,"",IF(INDEX('Прайс и заказ'!K:K,$J393)="","",INDEX('Прайс и заказ'!K:K,$J393)))</f>
      </c>
      <c r="H393" s="62" t="str">
        <f>IF($J393=0,"",IF(INDEX('Прайс и заказ'!L:L,$J393)="","",INDEX('Прайс и заказ'!L:L,$J393)))</f>
      </c>
      <c r="I393" s="13" t="str">
        <f>IF($J393=0,"",IF(INDEX('Прайс и заказ'!M:M,$J393)="","",INDEX('Прайс и заказ'!M:M,$J393)))</f>
      </c>
      <c r="J393" t="str">
        <f>IFERROR(MATCH(385,'Прайс и заказ'!$N$7:$N$623,0)+6,0)</f>
      </c>
      <c r="L393" t="str">
        <f>IF($J393=0,"",IF(INDEX('Прайс и заказ'!Q:Q,$J393)="","",INDEX('Прайс и заказ'!Q:Q,$J393)))</f>
      </c>
    </row>
    <row r="394" spans="1:12" customHeight="1" ht="40">
      <c r="A394" s="13" t="str">
        <f>IF($J394=0,"",IFERROR(_xlfn.IMAGE(INDEX('Прайс и заказ'!$O:$O,$J394)),""))</f>
      </c>
      <c r="B394" s="61" t="str">
        <f>IF($J394=0,"",IF(INDEX('Прайс и заказ'!B:B,$J394)="","",INDEX('Прайс и заказ'!B:B,$J394)))</f>
      </c>
      <c r="C394" s="64" t="str">
        <f>IF($J394=0,"",IF(INDEX('Прайс и заказ'!C:C,$J394)="","",INDEX('Прайс и заказ'!C:C,$J394)))</f>
      </c>
      <c r="D394" s="64" t="str">
        <f>IF($J394=0,"",IF(INDEX('Прайс и заказ'!D:D,$J394)="","",INDEX('Прайс и заказ'!D:D,$J394)))</f>
      </c>
      <c r="E394" s="61" t="str">
        <f>IF($J394=0,"",IF(INDEX('Прайс и заказ'!F:F,$J394)="","",INDEX('Прайс и заказ'!F:F,$J394)))</f>
      </c>
      <c r="F394" s="62" t="str">
        <f>IF($J394=0,"",IF(INDEX('Прайс и заказ'!I:I,$J394)="","",INDEX('Прайс и заказ'!I:I,$J394)))</f>
      </c>
      <c r="G394" s="63" t="str">
        <f>IF($J394=0,"",IF(INDEX('Прайс и заказ'!K:K,$J394)="","",INDEX('Прайс и заказ'!K:K,$J394)))</f>
      </c>
      <c r="H394" s="62" t="str">
        <f>IF($J394=0,"",IF(INDEX('Прайс и заказ'!L:L,$J394)="","",INDEX('Прайс и заказ'!L:L,$J394)))</f>
      </c>
      <c r="I394" s="13" t="str">
        <f>IF($J394=0,"",IF(INDEX('Прайс и заказ'!M:M,$J394)="","",INDEX('Прайс и заказ'!M:M,$J394)))</f>
      </c>
      <c r="J394" t="str">
        <f>IFERROR(MATCH(386,'Прайс и заказ'!$N$7:$N$623,0)+6,0)</f>
      </c>
      <c r="L394" t="str">
        <f>IF($J394=0,"",IF(INDEX('Прайс и заказ'!Q:Q,$J394)="","",INDEX('Прайс и заказ'!Q:Q,$J394)))</f>
      </c>
    </row>
    <row r="395" spans="1:12" customHeight="1" ht="40">
      <c r="A395" s="13" t="str">
        <f>IF($J395=0,"",IFERROR(_xlfn.IMAGE(INDEX('Прайс и заказ'!$O:$O,$J395)),""))</f>
      </c>
      <c r="B395" s="61" t="str">
        <f>IF($J395=0,"",IF(INDEX('Прайс и заказ'!B:B,$J395)="","",INDEX('Прайс и заказ'!B:B,$J395)))</f>
      </c>
      <c r="C395" s="64" t="str">
        <f>IF($J395=0,"",IF(INDEX('Прайс и заказ'!C:C,$J395)="","",INDEX('Прайс и заказ'!C:C,$J395)))</f>
      </c>
      <c r="D395" s="64" t="str">
        <f>IF($J395=0,"",IF(INDEX('Прайс и заказ'!D:D,$J395)="","",INDEX('Прайс и заказ'!D:D,$J395)))</f>
      </c>
      <c r="E395" s="61" t="str">
        <f>IF($J395=0,"",IF(INDEX('Прайс и заказ'!F:F,$J395)="","",INDEX('Прайс и заказ'!F:F,$J395)))</f>
      </c>
      <c r="F395" s="62" t="str">
        <f>IF($J395=0,"",IF(INDEX('Прайс и заказ'!I:I,$J395)="","",INDEX('Прайс и заказ'!I:I,$J395)))</f>
      </c>
      <c r="G395" s="63" t="str">
        <f>IF($J395=0,"",IF(INDEX('Прайс и заказ'!K:K,$J395)="","",INDEX('Прайс и заказ'!K:K,$J395)))</f>
      </c>
      <c r="H395" s="62" t="str">
        <f>IF($J395=0,"",IF(INDEX('Прайс и заказ'!L:L,$J395)="","",INDEX('Прайс и заказ'!L:L,$J395)))</f>
      </c>
      <c r="I395" s="13" t="str">
        <f>IF($J395=0,"",IF(INDEX('Прайс и заказ'!M:M,$J395)="","",INDEX('Прайс и заказ'!M:M,$J395)))</f>
      </c>
      <c r="J395" t="str">
        <f>IFERROR(MATCH(387,'Прайс и заказ'!$N$7:$N$623,0)+6,0)</f>
      </c>
      <c r="L395" t="str">
        <f>IF($J395=0,"",IF(INDEX('Прайс и заказ'!Q:Q,$J395)="","",INDEX('Прайс и заказ'!Q:Q,$J395)))</f>
      </c>
    </row>
    <row r="396" spans="1:12" customHeight="1" ht="40">
      <c r="A396" s="13" t="str">
        <f>IF($J396=0,"",IFERROR(_xlfn.IMAGE(INDEX('Прайс и заказ'!$O:$O,$J396)),""))</f>
      </c>
      <c r="B396" s="61" t="str">
        <f>IF($J396=0,"",IF(INDEX('Прайс и заказ'!B:B,$J396)="","",INDEX('Прайс и заказ'!B:B,$J396)))</f>
      </c>
      <c r="C396" s="64" t="str">
        <f>IF($J396=0,"",IF(INDEX('Прайс и заказ'!C:C,$J396)="","",INDEX('Прайс и заказ'!C:C,$J396)))</f>
      </c>
      <c r="D396" s="64" t="str">
        <f>IF($J396=0,"",IF(INDEX('Прайс и заказ'!D:D,$J396)="","",INDEX('Прайс и заказ'!D:D,$J396)))</f>
      </c>
      <c r="E396" s="61" t="str">
        <f>IF($J396=0,"",IF(INDEX('Прайс и заказ'!F:F,$J396)="","",INDEX('Прайс и заказ'!F:F,$J396)))</f>
      </c>
      <c r="F396" s="62" t="str">
        <f>IF($J396=0,"",IF(INDEX('Прайс и заказ'!I:I,$J396)="","",INDEX('Прайс и заказ'!I:I,$J396)))</f>
      </c>
      <c r="G396" s="63" t="str">
        <f>IF($J396=0,"",IF(INDEX('Прайс и заказ'!K:K,$J396)="","",INDEX('Прайс и заказ'!K:K,$J396)))</f>
      </c>
      <c r="H396" s="62" t="str">
        <f>IF($J396=0,"",IF(INDEX('Прайс и заказ'!L:L,$J396)="","",INDEX('Прайс и заказ'!L:L,$J396)))</f>
      </c>
      <c r="I396" s="13" t="str">
        <f>IF($J396=0,"",IF(INDEX('Прайс и заказ'!M:M,$J396)="","",INDEX('Прайс и заказ'!M:M,$J396)))</f>
      </c>
      <c r="J396" t="str">
        <f>IFERROR(MATCH(388,'Прайс и заказ'!$N$7:$N$623,0)+6,0)</f>
      </c>
      <c r="L396" t="str">
        <f>IF($J396=0,"",IF(INDEX('Прайс и заказ'!Q:Q,$J396)="","",INDEX('Прайс и заказ'!Q:Q,$J396)))</f>
      </c>
    </row>
    <row r="397" spans="1:12" customHeight="1" ht="40">
      <c r="A397" s="13" t="str">
        <f>IF($J397=0,"",IFERROR(_xlfn.IMAGE(INDEX('Прайс и заказ'!$O:$O,$J397)),""))</f>
      </c>
      <c r="B397" s="61" t="str">
        <f>IF($J397=0,"",IF(INDEX('Прайс и заказ'!B:B,$J397)="","",INDEX('Прайс и заказ'!B:B,$J397)))</f>
      </c>
      <c r="C397" s="64" t="str">
        <f>IF($J397=0,"",IF(INDEX('Прайс и заказ'!C:C,$J397)="","",INDEX('Прайс и заказ'!C:C,$J397)))</f>
      </c>
      <c r="D397" s="64" t="str">
        <f>IF($J397=0,"",IF(INDEX('Прайс и заказ'!D:D,$J397)="","",INDEX('Прайс и заказ'!D:D,$J397)))</f>
      </c>
      <c r="E397" s="61" t="str">
        <f>IF($J397=0,"",IF(INDEX('Прайс и заказ'!F:F,$J397)="","",INDEX('Прайс и заказ'!F:F,$J397)))</f>
      </c>
      <c r="F397" s="62" t="str">
        <f>IF($J397=0,"",IF(INDEX('Прайс и заказ'!I:I,$J397)="","",INDEX('Прайс и заказ'!I:I,$J397)))</f>
      </c>
      <c r="G397" s="63" t="str">
        <f>IF($J397=0,"",IF(INDEX('Прайс и заказ'!K:K,$J397)="","",INDEX('Прайс и заказ'!K:K,$J397)))</f>
      </c>
      <c r="H397" s="62" t="str">
        <f>IF($J397=0,"",IF(INDEX('Прайс и заказ'!L:L,$J397)="","",INDEX('Прайс и заказ'!L:L,$J397)))</f>
      </c>
      <c r="I397" s="13" t="str">
        <f>IF($J397=0,"",IF(INDEX('Прайс и заказ'!M:M,$J397)="","",INDEX('Прайс и заказ'!M:M,$J397)))</f>
      </c>
      <c r="J397" t="str">
        <f>IFERROR(MATCH(389,'Прайс и заказ'!$N$7:$N$623,0)+6,0)</f>
      </c>
      <c r="L397" t="str">
        <f>IF($J397=0,"",IF(INDEX('Прайс и заказ'!Q:Q,$J397)="","",INDEX('Прайс и заказ'!Q:Q,$J397)))</f>
      </c>
    </row>
    <row r="398" spans="1:12" customHeight="1" ht="40">
      <c r="A398" s="13" t="str">
        <f>IF($J398=0,"",IFERROR(_xlfn.IMAGE(INDEX('Прайс и заказ'!$O:$O,$J398)),""))</f>
      </c>
      <c r="B398" s="61" t="str">
        <f>IF($J398=0,"",IF(INDEX('Прайс и заказ'!B:B,$J398)="","",INDEX('Прайс и заказ'!B:B,$J398)))</f>
      </c>
      <c r="C398" s="64" t="str">
        <f>IF($J398=0,"",IF(INDEX('Прайс и заказ'!C:C,$J398)="","",INDEX('Прайс и заказ'!C:C,$J398)))</f>
      </c>
      <c r="D398" s="64" t="str">
        <f>IF($J398=0,"",IF(INDEX('Прайс и заказ'!D:D,$J398)="","",INDEX('Прайс и заказ'!D:D,$J398)))</f>
      </c>
      <c r="E398" s="61" t="str">
        <f>IF($J398=0,"",IF(INDEX('Прайс и заказ'!F:F,$J398)="","",INDEX('Прайс и заказ'!F:F,$J398)))</f>
      </c>
      <c r="F398" s="62" t="str">
        <f>IF($J398=0,"",IF(INDEX('Прайс и заказ'!I:I,$J398)="","",INDEX('Прайс и заказ'!I:I,$J398)))</f>
      </c>
      <c r="G398" s="63" t="str">
        <f>IF($J398=0,"",IF(INDEX('Прайс и заказ'!K:K,$J398)="","",INDEX('Прайс и заказ'!K:K,$J398)))</f>
      </c>
      <c r="H398" s="62" t="str">
        <f>IF($J398=0,"",IF(INDEX('Прайс и заказ'!L:L,$J398)="","",INDEX('Прайс и заказ'!L:L,$J398)))</f>
      </c>
      <c r="I398" s="13" t="str">
        <f>IF($J398=0,"",IF(INDEX('Прайс и заказ'!M:M,$J398)="","",INDEX('Прайс и заказ'!M:M,$J398)))</f>
      </c>
      <c r="J398" t="str">
        <f>IFERROR(MATCH(390,'Прайс и заказ'!$N$7:$N$623,0)+6,0)</f>
      </c>
      <c r="L398" t="str">
        <f>IF($J398=0,"",IF(INDEX('Прайс и заказ'!Q:Q,$J398)="","",INDEX('Прайс и заказ'!Q:Q,$J398)))</f>
      </c>
    </row>
    <row r="399" spans="1:12" customHeight="1" ht="40">
      <c r="A399" s="13" t="str">
        <f>IF($J399=0,"",IFERROR(_xlfn.IMAGE(INDEX('Прайс и заказ'!$O:$O,$J399)),""))</f>
      </c>
      <c r="B399" s="61" t="str">
        <f>IF($J399=0,"",IF(INDEX('Прайс и заказ'!B:B,$J399)="","",INDEX('Прайс и заказ'!B:B,$J399)))</f>
      </c>
      <c r="C399" s="64" t="str">
        <f>IF($J399=0,"",IF(INDEX('Прайс и заказ'!C:C,$J399)="","",INDEX('Прайс и заказ'!C:C,$J399)))</f>
      </c>
      <c r="D399" s="64" t="str">
        <f>IF($J399=0,"",IF(INDEX('Прайс и заказ'!D:D,$J399)="","",INDEX('Прайс и заказ'!D:D,$J399)))</f>
      </c>
      <c r="E399" s="61" t="str">
        <f>IF($J399=0,"",IF(INDEX('Прайс и заказ'!F:F,$J399)="","",INDEX('Прайс и заказ'!F:F,$J399)))</f>
      </c>
      <c r="F399" s="62" t="str">
        <f>IF($J399=0,"",IF(INDEX('Прайс и заказ'!I:I,$J399)="","",INDEX('Прайс и заказ'!I:I,$J399)))</f>
      </c>
      <c r="G399" s="63" t="str">
        <f>IF($J399=0,"",IF(INDEX('Прайс и заказ'!K:K,$J399)="","",INDEX('Прайс и заказ'!K:K,$J399)))</f>
      </c>
      <c r="H399" s="62" t="str">
        <f>IF($J399=0,"",IF(INDEX('Прайс и заказ'!L:L,$J399)="","",INDEX('Прайс и заказ'!L:L,$J399)))</f>
      </c>
      <c r="I399" s="13" t="str">
        <f>IF($J399=0,"",IF(INDEX('Прайс и заказ'!M:M,$J399)="","",INDEX('Прайс и заказ'!M:M,$J399)))</f>
      </c>
      <c r="J399" t="str">
        <f>IFERROR(MATCH(391,'Прайс и заказ'!$N$7:$N$623,0)+6,0)</f>
      </c>
      <c r="L399" t="str">
        <f>IF($J399=0,"",IF(INDEX('Прайс и заказ'!Q:Q,$J399)="","",INDEX('Прайс и заказ'!Q:Q,$J399)))</f>
      </c>
    </row>
    <row r="400" spans="1:12" customHeight="1" ht="40">
      <c r="A400" s="13" t="str">
        <f>IF($J400=0,"",IFERROR(_xlfn.IMAGE(INDEX('Прайс и заказ'!$O:$O,$J400)),""))</f>
      </c>
      <c r="B400" s="61" t="str">
        <f>IF($J400=0,"",IF(INDEX('Прайс и заказ'!B:B,$J400)="","",INDEX('Прайс и заказ'!B:B,$J400)))</f>
      </c>
      <c r="C400" s="64" t="str">
        <f>IF($J400=0,"",IF(INDEX('Прайс и заказ'!C:C,$J400)="","",INDEX('Прайс и заказ'!C:C,$J400)))</f>
      </c>
      <c r="D400" s="64" t="str">
        <f>IF($J400=0,"",IF(INDEX('Прайс и заказ'!D:D,$J400)="","",INDEX('Прайс и заказ'!D:D,$J400)))</f>
      </c>
      <c r="E400" s="61" t="str">
        <f>IF($J400=0,"",IF(INDEX('Прайс и заказ'!F:F,$J400)="","",INDEX('Прайс и заказ'!F:F,$J400)))</f>
      </c>
      <c r="F400" s="62" t="str">
        <f>IF($J400=0,"",IF(INDEX('Прайс и заказ'!I:I,$J400)="","",INDEX('Прайс и заказ'!I:I,$J400)))</f>
      </c>
      <c r="G400" s="63" t="str">
        <f>IF($J400=0,"",IF(INDEX('Прайс и заказ'!K:K,$J400)="","",INDEX('Прайс и заказ'!K:K,$J400)))</f>
      </c>
      <c r="H400" s="62" t="str">
        <f>IF($J400=0,"",IF(INDEX('Прайс и заказ'!L:L,$J400)="","",INDEX('Прайс и заказ'!L:L,$J400)))</f>
      </c>
      <c r="I400" s="13" t="str">
        <f>IF($J400=0,"",IF(INDEX('Прайс и заказ'!M:M,$J400)="","",INDEX('Прайс и заказ'!M:M,$J400)))</f>
      </c>
      <c r="J400" t="str">
        <f>IFERROR(MATCH(392,'Прайс и заказ'!$N$7:$N$623,0)+6,0)</f>
      </c>
      <c r="L400" t="str">
        <f>IF($J400=0,"",IF(INDEX('Прайс и заказ'!Q:Q,$J400)="","",INDEX('Прайс и заказ'!Q:Q,$J400)))</f>
      </c>
    </row>
    <row r="401" spans="1:12" customHeight="1" ht="40">
      <c r="A401" s="13" t="str">
        <f>IF($J401=0,"",IFERROR(_xlfn.IMAGE(INDEX('Прайс и заказ'!$O:$O,$J401)),""))</f>
      </c>
      <c r="B401" s="61" t="str">
        <f>IF($J401=0,"",IF(INDEX('Прайс и заказ'!B:B,$J401)="","",INDEX('Прайс и заказ'!B:B,$J401)))</f>
      </c>
      <c r="C401" s="64" t="str">
        <f>IF($J401=0,"",IF(INDEX('Прайс и заказ'!C:C,$J401)="","",INDEX('Прайс и заказ'!C:C,$J401)))</f>
      </c>
      <c r="D401" s="64" t="str">
        <f>IF($J401=0,"",IF(INDEX('Прайс и заказ'!D:D,$J401)="","",INDEX('Прайс и заказ'!D:D,$J401)))</f>
      </c>
      <c r="E401" s="61" t="str">
        <f>IF($J401=0,"",IF(INDEX('Прайс и заказ'!F:F,$J401)="","",INDEX('Прайс и заказ'!F:F,$J401)))</f>
      </c>
      <c r="F401" s="62" t="str">
        <f>IF($J401=0,"",IF(INDEX('Прайс и заказ'!I:I,$J401)="","",INDEX('Прайс и заказ'!I:I,$J401)))</f>
      </c>
      <c r="G401" s="63" t="str">
        <f>IF($J401=0,"",IF(INDEX('Прайс и заказ'!K:K,$J401)="","",INDEX('Прайс и заказ'!K:K,$J401)))</f>
      </c>
      <c r="H401" s="62" t="str">
        <f>IF($J401=0,"",IF(INDEX('Прайс и заказ'!L:L,$J401)="","",INDEX('Прайс и заказ'!L:L,$J401)))</f>
      </c>
      <c r="I401" s="13" t="str">
        <f>IF($J401=0,"",IF(INDEX('Прайс и заказ'!M:M,$J401)="","",INDEX('Прайс и заказ'!M:M,$J401)))</f>
      </c>
      <c r="J401" t="str">
        <f>IFERROR(MATCH(393,'Прайс и заказ'!$N$7:$N$623,0)+6,0)</f>
      </c>
      <c r="L401" t="str">
        <f>IF($J401=0,"",IF(INDEX('Прайс и заказ'!Q:Q,$J401)="","",INDEX('Прайс и заказ'!Q:Q,$J401)))</f>
      </c>
    </row>
    <row r="402" spans="1:12" customHeight="1" ht="40">
      <c r="A402" s="13" t="str">
        <f>IF($J402=0,"",IFERROR(_xlfn.IMAGE(INDEX('Прайс и заказ'!$O:$O,$J402)),""))</f>
      </c>
      <c r="B402" s="61" t="str">
        <f>IF($J402=0,"",IF(INDEX('Прайс и заказ'!B:B,$J402)="","",INDEX('Прайс и заказ'!B:B,$J402)))</f>
      </c>
      <c r="C402" s="64" t="str">
        <f>IF($J402=0,"",IF(INDEX('Прайс и заказ'!C:C,$J402)="","",INDEX('Прайс и заказ'!C:C,$J402)))</f>
      </c>
      <c r="D402" s="64" t="str">
        <f>IF($J402=0,"",IF(INDEX('Прайс и заказ'!D:D,$J402)="","",INDEX('Прайс и заказ'!D:D,$J402)))</f>
      </c>
      <c r="E402" s="61" t="str">
        <f>IF($J402=0,"",IF(INDEX('Прайс и заказ'!F:F,$J402)="","",INDEX('Прайс и заказ'!F:F,$J402)))</f>
      </c>
      <c r="F402" s="62" t="str">
        <f>IF($J402=0,"",IF(INDEX('Прайс и заказ'!I:I,$J402)="","",INDEX('Прайс и заказ'!I:I,$J402)))</f>
      </c>
      <c r="G402" s="63" t="str">
        <f>IF($J402=0,"",IF(INDEX('Прайс и заказ'!K:K,$J402)="","",INDEX('Прайс и заказ'!K:K,$J402)))</f>
      </c>
      <c r="H402" s="62" t="str">
        <f>IF($J402=0,"",IF(INDEX('Прайс и заказ'!L:L,$J402)="","",INDEX('Прайс и заказ'!L:L,$J402)))</f>
      </c>
      <c r="I402" s="13" t="str">
        <f>IF($J402=0,"",IF(INDEX('Прайс и заказ'!M:M,$J402)="","",INDEX('Прайс и заказ'!M:M,$J402)))</f>
      </c>
      <c r="J402" t="str">
        <f>IFERROR(MATCH(394,'Прайс и заказ'!$N$7:$N$623,0)+6,0)</f>
      </c>
      <c r="L402" t="str">
        <f>IF($J402=0,"",IF(INDEX('Прайс и заказ'!Q:Q,$J402)="","",INDEX('Прайс и заказ'!Q:Q,$J402)))</f>
      </c>
    </row>
    <row r="403" spans="1:12" customHeight="1" ht="40">
      <c r="A403" s="13" t="str">
        <f>IF($J403=0,"",IFERROR(_xlfn.IMAGE(INDEX('Прайс и заказ'!$O:$O,$J403)),""))</f>
      </c>
      <c r="B403" s="61" t="str">
        <f>IF($J403=0,"",IF(INDEX('Прайс и заказ'!B:B,$J403)="","",INDEX('Прайс и заказ'!B:B,$J403)))</f>
      </c>
      <c r="C403" s="64" t="str">
        <f>IF($J403=0,"",IF(INDEX('Прайс и заказ'!C:C,$J403)="","",INDEX('Прайс и заказ'!C:C,$J403)))</f>
      </c>
      <c r="D403" s="64" t="str">
        <f>IF($J403=0,"",IF(INDEX('Прайс и заказ'!D:D,$J403)="","",INDEX('Прайс и заказ'!D:D,$J403)))</f>
      </c>
      <c r="E403" s="61" t="str">
        <f>IF($J403=0,"",IF(INDEX('Прайс и заказ'!F:F,$J403)="","",INDEX('Прайс и заказ'!F:F,$J403)))</f>
      </c>
      <c r="F403" s="62" t="str">
        <f>IF($J403=0,"",IF(INDEX('Прайс и заказ'!I:I,$J403)="","",INDEX('Прайс и заказ'!I:I,$J403)))</f>
      </c>
      <c r="G403" s="63" t="str">
        <f>IF($J403=0,"",IF(INDEX('Прайс и заказ'!K:K,$J403)="","",INDEX('Прайс и заказ'!K:K,$J403)))</f>
      </c>
      <c r="H403" s="62" t="str">
        <f>IF($J403=0,"",IF(INDEX('Прайс и заказ'!L:L,$J403)="","",INDEX('Прайс и заказ'!L:L,$J403)))</f>
      </c>
      <c r="I403" s="13" t="str">
        <f>IF($J403=0,"",IF(INDEX('Прайс и заказ'!M:M,$J403)="","",INDEX('Прайс и заказ'!M:M,$J403)))</f>
      </c>
      <c r="J403" t="str">
        <f>IFERROR(MATCH(395,'Прайс и заказ'!$N$7:$N$623,0)+6,0)</f>
      </c>
      <c r="L403" t="str">
        <f>IF($J403=0,"",IF(INDEX('Прайс и заказ'!Q:Q,$J403)="","",INDEX('Прайс и заказ'!Q:Q,$J403)))</f>
      </c>
    </row>
    <row r="404" spans="1:12" customHeight="1" ht="40">
      <c r="A404" s="13" t="str">
        <f>IF($J404=0,"",IFERROR(_xlfn.IMAGE(INDEX('Прайс и заказ'!$O:$O,$J404)),""))</f>
      </c>
      <c r="B404" s="61" t="str">
        <f>IF($J404=0,"",IF(INDEX('Прайс и заказ'!B:B,$J404)="","",INDEX('Прайс и заказ'!B:B,$J404)))</f>
      </c>
      <c r="C404" s="64" t="str">
        <f>IF($J404=0,"",IF(INDEX('Прайс и заказ'!C:C,$J404)="","",INDEX('Прайс и заказ'!C:C,$J404)))</f>
      </c>
      <c r="D404" s="64" t="str">
        <f>IF($J404=0,"",IF(INDEX('Прайс и заказ'!D:D,$J404)="","",INDEX('Прайс и заказ'!D:D,$J404)))</f>
      </c>
      <c r="E404" s="61" t="str">
        <f>IF($J404=0,"",IF(INDEX('Прайс и заказ'!F:F,$J404)="","",INDEX('Прайс и заказ'!F:F,$J404)))</f>
      </c>
      <c r="F404" s="62" t="str">
        <f>IF($J404=0,"",IF(INDEX('Прайс и заказ'!I:I,$J404)="","",INDEX('Прайс и заказ'!I:I,$J404)))</f>
      </c>
      <c r="G404" s="63" t="str">
        <f>IF($J404=0,"",IF(INDEX('Прайс и заказ'!K:K,$J404)="","",INDEX('Прайс и заказ'!K:K,$J404)))</f>
      </c>
      <c r="H404" s="62" t="str">
        <f>IF($J404=0,"",IF(INDEX('Прайс и заказ'!L:L,$J404)="","",INDEX('Прайс и заказ'!L:L,$J404)))</f>
      </c>
      <c r="I404" s="13" t="str">
        <f>IF($J404=0,"",IF(INDEX('Прайс и заказ'!M:M,$J404)="","",INDEX('Прайс и заказ'!M:M,$J404)))</f>
      </c>
      <c r="J404" t="str">
        <f>IFERROR(MATCH(396,'Прайс и заказ'!$N$7:$N$623,0)+6,0)</f>
      </c>
      <c r="L404" t="str">
        <f>IF($J404=0,"",IF(INDEX('Прайс и заказ'!Q:Q,$J404)="","",INDEX('Прайс и заказ'!Q:Q,$J404)))</f>
      </c>
    </row>
    <row r="405" spans="1:12" customHeight="1" ht="40">
      <c r="A405" s="13" t="str">
        <f>IF($J405=0,"",IFERROR(_xlfn.IMAGE(INDEX('Прайс и заказ'!$O:$O,$J405)),""))</f>
      </c>
      <c r="B405" s="61" t="str">
        <f>IF($J405=0,"",IF(INDEX('Прайс и заказ'!B:B,$J405)="","",INDEX('Прайс и заказ'!B:B,$J405)))</f>
      </c>
      <c r="C405" s="64" t="str">
        <f>IF($J405=0,"",IF(INDEX('Прайс и заказ'!C:C,$J405)="","",INDEX('Прайс и заказ'!C:C,$J405)))</f>
      </c>
      <c r="D405" s="64" t="str">
        <f>IF($J405=0,"",IF(INDEX('Прайс и заказ'!D:D,$J405)="","",INDEX('Прайс и заказ'!D:D,$J405)))</f>
      </c>
      <c r="E405" s="61" t="str">
        <f>IF($J405=0,"",IF(INDEX('Прайс и заказ'!F:F,$J405)="","",INDEX('Прайс и заказ'!F:F,$J405)))</f>
      </c>
      <c r="F405" s="62" t="str">
        <f>IF($J405=0,"",IF(INDEX('Прайс и заказ'!I:I,$J405)="","",INDEX('Прайс и заказ'!I:I,$J405)))</f>
      </c>
      <c r="G405" s="63" t="str">
        <f>IF($J405=0,"",IF(INDEX('Прайс и заказ'!K:K,$J405)="","",INDEX('Прайс и заказ'!K:K,$J405)))</f>
      </c>
      <c r="H405" s="62" t="str">
        <f>IF($J405=0,"",IF(INDEX('Прайс и заказ'!L:L,$J405)="","",INDEX('Прайс и заказ'!L:L,$J405)))</f>
      </c>
      <c r="I405" s="13" t="str">
        <f>IF($J405=0,"",IF(INDEX('Прайс и заказ'!M:M,$J405)="","",INDEX('Прайс и заказ'!M:M,$J405)))</f>
      </c>
      <c r="J405" t="str">
        <f>IFERROR(MATCH(397,'Прайс и заказ'!$N$7:$N$623,0)+6,0)</f>
      </c>
      <c r="L405" t="str">
        <f>IF($J405=0,"",IF(INDEX('Прайс и заказ'!Q:Q,$J405)="","",INDEX('Прайс и заказ'!Q:Q,$J405)))</f>
      </c>
    </row>
    <row r="406" spans="1:12" customHeight="1" ht="40">
      <c r="A406" s="13" t="str">
        <f>IF($J406=0,"",IFERROR(_xlfn.IMAGE(INDEX('Прайс и заказ'!$O:$O,$J406)),""))</f>
      </c>
      <c r="B406" s="61" t="str">
        <f>IF($J406=0,"",IF(INDEX('Прайс и заказ'!B:B,$J406)="","",INDEX('Прайс и заказ'!B:B,$J406)))</f>
      </c>
      <c r="C406" s="64" t="str">
        <f>IF($J406=0,"",IF(INDEX('Прайс и заказ'!C:C,$J406)="","",INDEX('Прайс и заказ'!C:C,$J406)))</f>
      </c>
      <c r="D406" s="64" t="str">
        <f>IF($J406=0,"",IF(INDEX('Прайс и заказ'!D:D,$J406)="","",INDEX('Прайс и заказ'!D:D,$J406)))</f>
      </c>
      <c r="E406" s="61" t="str">
        <f>IF($J406=0,"",IF(INDEX('Прайс и заказ'!F:F,$J406)="","",INDEX('Прайс и заказ'!F:F,$J406)))</f>
      </c>
      <c r="F406" s="62" t="str">
        <f>IF($J406=0,"",IF(INDEX('Прайс и заказ'!I:I,$J406)="","",INDEX('Прайс и заказ'!I:I,$J406)))</f>
      </c>
      <c r="G406" s="63" t="str">
        <f>IF($J406=0,"",IF(INDEX('Прайс и заказ'!K:K,$J406)="","",INDEX('Прайс и заказ'!K:K,$J406)))</f>
      </c>
      <c r="H406" s="62" t="str">
        <f>IF($J406=0,"",IF(INDEX('Прайс и заказ'!L:L,$J406)="","",INDEX('Прайс и заказ'!L:L,$J406)))</f>
      </c>
      <c r="I406" s="13" t="str">
        <f>IF($J406=0,"",IF(INDEX('Прайс и заказ'!M:M,$J406)="","",INDEX('Прайс и заказ'!M:M,$J406)))</f>
      </c>
      <c r="J406" t="str">
        <f>IFERROR(MATCH(398,'Прайс и заказ'!$N$7:$N$623,0)+6,0)</f>
      </c>
      <c r="L406" t="str">
        <f>IF($J406=0,"",IF(INDEX('Прайс и заказ'!Q:Q,$J406)="","",INDEX('Прайс и заказ'!Q:Q,$J406)))</f>
      </c>
    </row>
    <row r="407" spans="1:12" customHeight="1" ht="40">
      <c r="A407" s="13" t="str">
        <f>IF($J407=0,"",IFERROR(_xlfn.IMAGE(INDEX('Прайс и заказ'!$O:$O,$J407)),""))</f>
      </c>
      <c r="B407" s="61" t="str">
        <f>IF($J407=0,"",IF(INDEX('Прайс и заказ'!B:B,$J407)="","",INDEX('Прайс и заказ'!B:B,$J407)))</f>
      </c>
      <c r="C407" s="64" t="str">
        <f>IF($J407=0,"",IF(INDEX('Прайс и заказ'!C:C,$J407)="","",INDEX('Прайс и заказ'!C:C,$J407)))</f>
      </c>
      <c r="D407" s="64" t="str">
        <f>IF($J407=0,"",IF(INDEX('Прайс и заказ'!D:D,$J407)="","",INDEX('Прайс и заказ'!D:D,$J407)))</f>
      </c>
      <c r="E407" s="61" t="str">
        <f>IF($J407=0,"",IF(INDEX('Прайс и заказ'!F:F,$J407)="","",INDEX('Прайс и заказ'!F:F,$J407)))</f>
      </c>
      <c r="F407" s="62" t="str">
        <f>IF($J407=0,"",IF(INDEX('Прайс и заказ'!I:I,$J407)="","",INDEX('Прайс и заказ'!I:I,$J407)))</f>
      </c>
      <c r="G407" s="63" t="str">
        <f>IF($J407=0,"",IF(INDEX('Прайс и заказ'!K:K,$J407)="","",INDEX('Прайс и заказ'!K:K,$J407)))</f>
      </c>
      <c r="H407" s="62" t="str">
        <f>IF($J407=0,"",IF(INDEX('Прайс и заказ'!L:L,$J407)="","",INDEX('Прайс и заказ'!L:L,$J407)))</f>
      </c>
      <c r="I407" s="13" t="str">
        <f>IF($J407=0,"",IF(INDEX('Прайс и заказ'!M:M,$J407)="","",INDEX('Прайс и заказ'!M:M,$J407)))</f>
      </c>
      <c r="J407" t="str">
        <f>IFERROR(MATCH(399,'Прайс и заказ'!$N$7:$N$623,0)+6,0)</f>
      </c>
      <c r="L407" t="str">
        <f>IF($J407=0,"",IF(INDEX('Прайс и заказ'!Q:Q,$J407)="","",INDEX('Прайс и заказ'!Q:Q,$J407)))</f>
      </c>
    </row>
    <row r="408" spans="1:12" customHeight="1" ht="40">
      <c r="A408" s="13" t="str">
        <f>IF($J408=0,"",IFERROR(_xlfn.IMAGE(INDEX('Прайс и заказ'!$O:$O,$J408)),""))</f>
      </c>
      <c r="B408" s="61" t="str">
        <f>IF($J408=0,"",IF(INDEX('Прайс и заказ'!B:B,$J408)="","",INDEX('Прайс и заказ'!B:B,$J408)))</f>
      </c>
      <c r="C408" s="64" t="str">
        <f>IF($J408=0,"",IF(INDEX('Прайс и заказ'!C:C,$J408)="","",INDEX('Прайс и заказ'!C:C,$J408)))</f>
      </c>
      <c r="D408" s="64" t="str">
        <f>IF($J408=0,"",IF(INDEX('Прайс и заказ'!D:D,$J408)="","",INDEX('Прайс и заказ'!D:D,$J408)))</f>
      </c>
      <c r="E408" s="61" t="str">
        <f>IF($J408=0,"",IF(INDEX('Прайс и заказ'!F:F,$J408)="","",INDEX('Прайс и заказ'!F:F,$J408)))</f>
      </c>
      <c r="F408" s="62" t="str">
        <f>IF($J408=0,"",IF(INDEX('Прайс и заказ'!I:I,$J408)="","",INDEX('Прайс и заказ'!I:I,$J408)))</f>
      </c>
      <c r="G408" s="63" t="str">
        <f>IF($J408=0,"",IF(INDEX('Прайс и заказ'!K:K,$J408)="","",INDEX('Прайс и заказ'!K:K,$J408)))</f>
      </c>
      <c r="H408" s="62" t="str">
        <f>IF($J408=0,"",IF(INDEX('Прайс и заказ'!L:L,$J408)="","",INDEX('Прайс и заказ'!L:L,$J408)))</f>
      </c>
      <c r="I408" s="13" t="str">
        <f>IF($J408=0,"",IF(INDEX('Прайс и заказ'!M:M,$J408)="","",INDEX('Прайс и заказ'!M:M,$J408)))</f>
      </c>
      <c r="J408" t="str">
        <f>IFERROR(MATCH(400,'Прайс и заказ'!$N$7:$N$623,0)+6,0)</f>
      </c>
      <c r="L408" t="str">
        <f>IF($J408=0,"",IF(INDEX('Прайс и заказ'!Q:Q,$J408)="","",INDEX('Прайс и заказ'!Q:Q,$J408)))</f>
      </c>
    </row>
    <row r="409" spans="1:12" customHeight="1" ht="40">
      <c r="A409" s="13" t="str">
        <f>IF($J409=0,"",IFERROR(_xlfn.IMAGE(INDEX('Прайс и заказ'!$O:$O,$J409)),""))</f>
      </c>
      <c r="B409" s="61" t="str">
        <f>IF($J409=0,"",IF(INDEX('Прайс и заказ'!B:B,$J409)="","",INDEX('Прайс и заказ'!B:B,$J409)))</f>
      </c>
      <c r="C409" s="64" t="str">
        <f>IF($J409=0,"",IF(INDEX('Прайс и заказ'!C:C,$J409)="","",INDEX('Прайс и заказ'!C:C,$J409)))</f>
      </c>
      <c r="D409" s="64" t="str">
        <f>IF($J409=0,"",IF(INDEX('Прайс и заказ'!D:D,$J409)="","",INDEX('Прайс и заказ'!D:D,$J409)))</f>
      </c>
      <c r="E409" s="61" t="str">
        <f>IF($J409=0,"",IF(INDEX('Прайс и заказ'!F:F,$J409)="","",INDEX('Прайс и заказ'!F:F,$J409)))</f>
      </c>
      <c r="F409" s="62" t="str">
        <f>IF($J409=0,"",IF(INDEX('Прайс и заказ'!I:I,$J409)="","",INDEX('Прайс и заказ'!I:I,$J409)))</f>
      </c>
      <c r="G409" s="63" t="str">
        <f>IF($J409=0,"",IF(INDEX('Прайс и заказ'!K:K,$J409)="","",INDEX('Прайс и заказ'!K:K,$J409)))</f>
      </c>
      <c r="H409" s="62" t="str">
        <f>IF($J409=0,"",IF(INDEX('Прайс и заказ'!L:L,$J409)="","",INDEX('Прайс и заказ'!L:L,$J409)))</f>
      </c>
      <c r="I409" s="13" t="str">
        <f>IF($J409=0,"",IF(INDEX('Прайс и заказ'!M:M,$J409)="","",INDEX('Прайс и заказ'!M:M,$J409)))</f>
      </c>
      <c r="J409" t="str">
        <f>IFERROR(MATCH(401,'Прайс и заказ'!$N$7:$N$623,0)+6,0)</f>
      </c>
      <c r="L409" t="str">
        <f>IF($J409=0,"",IF(INDEX('Прайс и заказ'!Q:Q,$J409)="","",INDEX('Прайс и заказ'!Q:Q,$J409)))</f>
      </c>
    </row>
    <row r="410" spans="1:12" customHeight="1" ht="40">
      <c r="A410" s="13" t="str">
        <f>IF($J410=0,"",IFERROR(_xlfn.IMAGE(INDEX('Прайс и заказ'!$O:$O,$J410)),""))</f>
      </c>
      <c r="B410" s="61" t="str">
        <f>IF($J410=0,"",IF(INDEX('Прайс и заказ'!B:B,$J410)="","",INDEX('Прайс и заказ'!B:B,$J410)))</f>
      </c>
      <c r="C410" s="64" t="str">
        <f>IF($J410=0,"",IF(INDEX('Прайс и заказ'!C:C,$J410)="","",INDEX('Прайс и заказ'!C:C,$J410)))</f>
      </c>
      <c r="D410" s="64" t="str">
        <f>IF($J410=0,"",IF(INDEX('Прайс и заказ'!D:D,$J410)="","",INDEX('Прайс и заказ'!D:D,$J410)))</f>
      </c>
      <c r="E410" s="61" t="str">
        <f>IF($J410=0,"",IF(INDEX('Прайс и заказ'!F:F,$J410)="","",INDEX('Прайс и заказ'!F:F,$J410)))</f>
      </c>
      <c r="F410" s="62" t="str">
        <f>IF($J410=0,"",IF(INDEX('Прайс и заказ'!I:I,$J410)="","",INDEX('Прайс и заказ'!I:I,$J410)))</f>
      </c>
      <c r="G410" s="63" t="str">
        <f>IF($J410=0,"",IF(INDEX('Прайс и заказ'!K:K,$J410)="","",INDEX('Прайс и заказ'!K:K,$J410)))</f>
      </c>
      <c r="H410" s="62" t="str">
        <f>IF($J410=0,"",IF(INDEX('Прайс и заказ'!L:L,$J410)="","",INDEX('Прайс и заказ'!L:L,$J410)))</f>
      </c>
      <c r="I410" s="13" t="str">
        <f>IF($J410=0,"",IF(INDEX('Прайс и заказ'!M:M,$J410)="","",INDEX('Прайс и заказ'!M:M,$J410)))</f>
      </c>
      <c r="J410" t="str">
        <f>IFERROR(MATCH(402,'Прайс и заказ'!$N$7:$N$623,0)+6,0)</f>
      </c>
      <c r="L410" t="str">
        <f>IF($J410=0,"",IF(INDEX('Прайс и заказ'!Q:Q,$J410)="","",INDEX('Прайс и заказ'!Q:Q,$J410)))</f>
      </c>
    </row>
    <row r="411" spans="1:12" customHeight="1" ht="40">
      <c r="A411" s="13" t="str">
        <f>IF($J411=0,"",IFERROR(_xlfn.IMAGE(INDEX('Прайс и заказ'!$O:$O,$J411)),""))</f>
      </c>
      <c r="B411" s="61" t="str">
        <f>IF($J411=0,"",IF(INDEX('Прайс и заказ'!B:B,$J411)="","",INDEX('Прайс и заказ'!B:B,$J411)))</f>
      </c>
      <c r="C411" s="64" t="str">
        <f>IF($J411=0,"",IF(INDEX('Прайс и заказ'!C:C,$J411)="","",INDEX('Прайс и заказ'!C:C,$J411)))</f>
      </c>
      <c r="D411" s="64" t="str">
        <f>IF($J411=0,"",IF(INDEX('Прайс и заказ'!D:D,$J411)="","",INDEX('Прайс и заказ'!D:D,$J411)))</f>
      </c>
      <c r="E411" s="61" t="str">
        <f>IF($J411=0,"",IF(INDEX('Прайс и заказ'!F:F,$J411)="","",INDEX('Прайс и заказ'!F:F,$J411)))</f>
      </c>
      <c r="F411" s="62" t="str">
        <f>IF($J411=0,"",IF(INDEX('Прайс и заказ'!I:I,$J411)="","",INDEX('Прайс и заказ'!I:I,$J411)))</f>
      </c>
      <c r="G411" s="63" t="str">
        <f>IF($J411=0,"",IF(INDEX('Прайс и заказ'!K:K,$J411)="","",INDEX('Прайс и заказ'!K:K,$J411)))</f>
      </c>
      <c r="H411" s="62" t="str">
        <f>IF($J411=0,"",IF(INDEX('Прайс и заказ'!L:L,$J411)="","",INDEX('Прайс и заказ'!L:L,$J411)))</f>
      </c>
      <c r="I411" s="13" t="str">
        <f>IF($J411=0,"",IF(INDEX('Прайс и заказ'!M:M,$J411)="","",INDEX('Прайс и заказ'!M:M,$J411)))</f>
      </c>
      <c r="J411" t="str">
        <f>IFERROR(MATCH(403,'Прайс и заказ'!$N$7:$N$623,0)+6,0)</f>
      </c>
      <c r="L411" t="str">
        <f>IF($J411=0,"",IF(INDEX('Прайс и заказ'!Q:Q,$J411)="","",INDEX('Прайс и заказ'!Q:Q,$J411)))</f>
      </c>
    </row>
    <row r="412" spans="1:12" customHeight="1" ht="40">
      <c r="A412" s="13" t="str">
        <f>IF($J412=0,"",IFERROR(_xlfn.IMAGE(INDEX('Прайс и заказ'!$O:$O,$J412)),""))</f>
      </c>
      <c r="B412" s="61" t="str">
        <f>IF($J412=0,"",IF(INDEX('Прайс и заказ'!B:B,$J412)="","",INDEX('Прайс и заказ'!B:B,$J412)))</f>
      </c>
      <c r="C412" s="64" t="str">
        <f>IF($J412=0,"",IF(INDEX('Прайс и заказ'!C:C,$J412)="","",INDEX('Прайс и заказ'!C:C,$J412)))</f>
      </c>
      <c r="D412" s="64" t="str">
        <f>IF($J412=0,"",IF(INDEX('Прайс и заказ'!D:D,$J412)="","",INDEX('Прайс и заказ'!D:D,$J412)))</f>
      </c>
      <c r="E412" s="61" t="str">
        <f>IF($J412=0,"",IF(INDEX('Прайс и заказ'!F:F,$J412)="","",INDEX('Прайс и заказ'!F:F,$J412)))</f>
      </c>
      <c r="F412" s="62" t="str">
        <f>IF($J412=0,"",IF(INDEX('Прайс и заказ'!I:I,$J412)="","",INDEX('Прайс и заказ'!I:I,$J412)))</f>
      </c>
      <c r="G412" s="63" t="str">
        <f>IF($J412=0,"",IF(INDEX('Прайс и заказ'!K:K,$J412)="","",INDEX('Прайс и заказ'!K:K,$J412)))</f>
      </c>
      <c r="H412" s="62" t="str">
        <f>IF($J412=0,"",IF(INDEX('Прайс и заказ'!L:L,$J412)="","",INDEX('Прайс и заказ'!L:L,$J412)))</f>
      </c>
      <c r="I412" s="13" t="str">
        <f>IF($J412=0,"",IF(INDEX('Прайс и заказ'!M:M,$J412)="","",INDEX('Прайс и заказ'!M:M,$J412)))</f>
      </c>
      <c r="J412" t="str">
        <f>IFERROR(MATCH(404,'Прайс и заказ'!$N$7:$N$623,0)+6,0)</f>
      </c>
      <c r="L412" t="str">
        <f>IF($J412=0,"",IF(INDEX('Прайс и заказ'!Q:Q,$J412)="","",INDEX('Прайс и заказ'!Q:Q,$J412)))</f>
      </c>
    </row>
    <row r="413" spans="1:12" customHeight="1" ht="40">
      <c r="A413" s="13" t="str">
        <f>IF($J413=0,"",IFERROR(_xlfn.IMAGE(INDEX('Прайс и заказ'!$O:$O,$J413)),""))</f>
      </c>
      <c r="B413" s="61" t="str">
        <f>IF($J413=0,"",IF(INDEX('Прайс и заказ'!B:B,$J413)="","",INDEX('Прайс и заказ'!B:B,$J413)))</f>
      </c>
      <c r="C413" s="64" t="str">
        <f>IF($J413=0,"",IF(INDEX('Прайс и заказ'!C:C,$J413)="","",INDEX('Прайс и заказ'!C:C,$J413)))</f>
      </c>
      <c r="D413" s="64" t="str">
        <f>IF($J413=0,"",IF(INDEX('Прайс и заказ'!D:D,$J413)="","",INDEX('Прайс и заказ'!D:D,$J413)))</f>
      </c>
      <c r="E413" s="61" t="str">
        <f>IF($J413=0,"",IF(INDEX('Прайс и заказ'!F:F,$J413)="","",INDEX('Прайс и заказ'!F:F,$J413)))</f>
      </c>
      <c r="F413" s="62" t="str">
        <f>IF($J413=0,"",IF(INDEX('Прайс и заказ'!I:I,$J413)="","",INDEX('Прайс и заказ'!I:I,$J413)))</f>
      </c>
      <c r="G413" s="63" t="str">
        <f>IF($J413=0,"",IF(INDEX('Прайс и заказ'!K:K,$J413)="","",INDEX('Прайс и заказ'!K:K,$J413)))</f>
      </c>
      <c r="H413" s="62" t="str">
        <f>IF($J413=0,"",IF(INDEX('Прайс и заказ'!L:L,$J413)="","",INDEX('Прайс и заказ'!L:L,$J413)))</f>
      </c>
      <c r="I413" s="13" t="str">
        <f>IF($J413=0,"",IF(INDEX('Прайс и заказ'!M:M,$J413)="","",INDEX('Прайс и заказ'!M:M,$J413)))</f>
      </c>
      <c r="J413" t="str">
        <f>IFERROR(MATCH(405,'Прайс и заказ'!$N$7:$N$623,0)+6,0)</f>
      </c>
      <c r="L413" t="str">
        <f>IF($J413=0,"",IF(INDEX('Прайс и заказ'!Q:Q,$J413)="","",INDEX('Прайс и заказ'!Q:Q,$J413)))</f>
      </c>
    </row>
    <row r="414" spans="1:12" customHeight="1" ht="40">
      <c r="A414" s="13" t="str">
        <f>IF($J414=0,"",IFERROR(_xlfn.IMAGE(INDEX('Прайс и заказ'!$O:$O,$J414)),""))</f>
      </c>
      <c r="B414" s="61" t="str">
        <f>IF($J414=0,"",IF(INDEX('Прайс и заказ'!B:B,$J414)="","",INDEX('Прайс и заказ'!B:B,$J414)))</f>
      </c>
      <c r="C414" s="64" t="str">
        <f>IF($J414=0,"",IF(INDEX('Прайс и заказ'!C:C,$J414)="","",INDEX('Прайс и заказ'!C:C,$J414)))</f>
      </c>
      <c r="D414" s="64" t="str">
        <f>IF($J414=0,"",IF(INDEX('Прайс и заказ'!D:D,$J414)="","",INDEX('Прайс и заказ'!D:D,$J414)))</f>
      </c>
      <c r="E414" s="61" t="str">
        <f>IF($J414=0,"",IF(INDEX('Прайс и заказ'!F:F,$J414)="","",INDEX('Прайс и заказ'!F:F,$J414)))</f>
      </c>
      <c r="F414" s="62" t="str">
        <f>IF($J414=0,"",IF(INDEX('Прайс и заказ'!I:I,$J414)="","",INDEX('Прайс и заказ'!I:I,$J414)))</f>
      </c>
      <c r="G414" s="63" t="str">
        <f>IF($J414=0,"",IF(INDEX('Прайс и заказ'!K:K,$J414)="","",INDEX('Прайс и заказ'!K:K,$J414)))</f>
      </c>
      <c r="H414" s="62" t="str">
        <f>IF($J414=0,"",IF(INDEX('Прайс и заказ'!L:L,$J414)="","",INDEX('Прайс и заказ'!L:L,$J414)))</f>
      </c>
      <c r="I414" s="13" t="str">
        <f>IF($J414=0,"",IF(INDEX('Прайс и заказ'!M:M,$J414)="","",INDEX('Прайс и заказ'!M:M,$J414)))</f>
      </c>
      <c r="J414" t="str">
        <f>IFERROR(MATCH(406,'Прайс и заказ'!$N$7:$N$623,0)+6,0)</f>
      </c>
      <c r="L414" t="str">
        <f>IF($J414=0,"",IF(INDEX('Прайс и заказ'!Q:Q,$J414)="","",INDEX('Прайс и заказ'!Q:Q,$J414)))</f>
      </c>
    </row>
    <row r="415" spans="1:12" customHeight="1" ht="40">
      <c r="A415" s="13" t="str">
        <f>IF($J415=0,"",IFERROR(_xlfn.IMAGE(INDEX('Прайс и заказ'!$O:$O,$J415)),""))</f>
      </c>
      <c r="B415" s="61" t="str">
        <f>IF($J415=0,"",IF(INDEX('Прайс и заказ'!B:B,$J415)="","",INDEX('Прайс и заказ'!B:B,$J415)))</f>
      </c>
      <c r="C415" s="64" t="str">
        <f>IF($J415=0,"",IF(INDEX('Прайс и заказ'!C:C,$J415)="","",INDEX('Прайс и заказ'!C:C,$J415)))</f>
      </c>
      <c r="D415" s="64" t="str">
        <f>IF($J415=0,"",IF(INDEX('Прайс и заказ'!D:D,$J415)="","",INDEX('Прайс и заказ'!D:D,$J415)))</f>
      </c>
      <c r="E415" s="61" t="str">
        <f>IF($J415=0,"",IF(INDEX('Прайс и заказ'!F:F,$J415)="","",INDEX('Прайс и заказ'!F:F,$J415)))</f>
      </c>
      <c r="F415" s="62" t="str">
        <f>IF($J415=0,"",IF(INDEX('Прайс и заказ'!I:I,$J415)="","",INDEX('Прайс и заказ'!I:I,$J415)))</f>
      </c>
      <c r="G415" s="63" t="str">
        <f>IF($J415=0,"",IF(INDEX('Прайс и заказ'!K:K,$J415)="","",INDEX('Прайс и заказ'!K:K,$J415)))</f>
      </c>
      <c r="H415" s="62" t="str">
        <f>IF($J415=0,"",IF(INDEX('Прайс и заказ'!L:L,$J415)="","",INDEX('Прайс и заказ'!L:L,$J415)))</f>
      </c>
      <c r="I415" s="13" t="str">
        <f>IF($J415=0,"",IF(INDEX('Прайс и заказ'!M:M,$J415)="","",INDEX('Прайс и заказ'!M:M,$J415)))</f>
      </c>
      <c r="J415" t="str">
        <f>IFERROR(MATCH(407,'Прайс и заказ'!$N$7:$N$623,0)+6,0)</f>
      </c>
      <c r="L415" t="str">
        <f>IF($J415=0,"",IF(INDEX('Прайс и заказ'!Q:Q,$J415)="","",INDEX('Прайс и заказ'!Q:Q,$J415)))</f>
      </c>
    </row>
    <row r="416" spans="1:12" customHeight="1" ht="40">
      <c r="A416" s="13" t="str">
        <f>IF($J416=0,"",IFERROR(_xlfn.IMAGE(INDEX('Прайс и заказ'!$O:$O,$J416)),""))</f>
      </c>
      <c r="B416" s="61" t="str">
        <f>IF($J416=0,"",IF(INDEX('Прайс и заказ'!B:B,$J416)="","",INDEX('Прайс и заказ'!B:B,$J416)))</f>
      </c>
      <c r="C416" s="64" t="str">
        <f>IF($J416=0,"",IF(INDEX('Прайс и заказ'!C:C,$J416)="","",INDEX('Прайс и заказ'!C:C,$J416)))</f>
      </c>
      <c r="D416" s="64" t="str">
        <f>IF($J416=0,"",IF(INDEX('Прайс и заказ'!D:D,$J416)="","",INDEX('Прайс и заказ'!D:D,$J416)))</f>
      </c>
      <c r="E416" s="61" t="str">
        <f>IF($J416=0,"",IF(INDEX('Прайс и заказ'!F:F,$J416)="","",INDEX('Прайс и заказ'!F:F,$J416)))</f>
      </c>
      <c r="F416" s="62" t="str">
        <f>IF($J416=0,"",IF(INDEX('Прайс и заказ'!I:I,$J416)="","",INDEX('Прайс и заказ'!I:I,$J416)))</f>
      </c>
      <c r="G416" s="63" t="str">
        <f>IF($J416=0,"",IF(INDEX('Прайс и заказ'!K:K,$J416)="","",INDEX('Прайс и заказ'!K:K,$J416)))</f>
      </c>
      <c r="H416" s="62" t="str">
        <f>IF($J416=0,"",IF(INDEX('Прайс и заказ'!L:L,$J416)="","",INDEX('Прайс и заказ'!L:L,$J416)))</f>
      </c>
      <c r="I416" s="13" t="str">
        <f>IF($J416=0,"",IF(INDEX('Прайс и заказ'!M:M,$J416)="","",INDEX('Прайс и заказ'!M:M,$J416)))</f>
      </c>
      <c r="J416" t="str">
        <f>IFERROR(MATCH(408,'Прайс и заказ'!$N$7:$N$623,0)+6,0)</f>
      </c>
      <c r="L416" t="str">
        <f>IF($J416=0,"",IF(INDEX('Прайс и заказ'!Q:Q,$J416)="","",INDEX('Прайс и заказ'!Q:Q,$J416)))</f>
      </c>
    </row>
    <row r="417" spans="1:12" customHeight="1" ht="40">
      <c r="A417" s="13" t="str">
        <f>IF($J417=0,"",IFERROR(_xlfn.IMAGE(INDEX('Прайс и заказ'!$O:$O,$J417)),""))</f>
      </c>
      <c r="B417" s="61" t="str">
        <f>IF($J417=0,"",IF(INDEX('Прайс и заказ'!B:B,$J417)="","",INDEX('Прайс и заказ'!B:B,$J417)))</f>
      </c>
      <c r="C417" s="64" t="str">
        <f>IF($J417=0,"",IF(INDEX('Прайс и заказ'!C:C,$J417)="","",INDEX('Прайс и заказ'!C:C,$J417)))</f>
      </c>
      <c r="D417" s="64" t="str">
        <f>IF($J417=0,"",IF(INDEX('Прайс и заказ'!D:D,$J417)="","",INDEX('Прайс и заказ'!D:D,$J417)))</f>
      </c>
      <c r="E417" s="61" t="str">
        <f>IF($J417=0,"",IF(INDEX('Прайс и заказ'!F:F,$J417)="","",INDEX('Прайс и заказ'!F:F,$J417)))</f>
      </c>
      <c r="F417" s="62" t="str">
        <f>IF($J417=0,"",IF(INDEX('Прайс и заказ'!I:I,$J417)="","",INDEX('Прайс и заказ'!I:I,$J417)))</f>
      </c>
      <c r="G417" s="63" t="str">
        <f>IF($J417=0,"",IF(INDEX('Прайс и заказ'!K:K,$J417)="","",INDEX('Прайс и заказ'!K:K,$J417)))</f>
      </c>
      <c r="H417" s="62" t="str">
        <f>IF($J417=0,"",IF(INDEX('Прайс и заказ'!L:L,$J417)="","",INDEX('Прайс и заказ'!L:L,$J417)))</f>
      </c>
      <c r="I417" s="13" t="str">
        <f>IF($J417=0,"",IF(INDEX('Прайс и заказ'!M:M,$J417)="","",INDEX('Прайс и заказ'!M:M,$J417)))</f>
      </c>
      <c r="J417" t="str">
        <f>IFERROR(MATCH(409,'Прайс и заказ'!$N$7:$N$623,0)+6,0)</f>
      </c>
      <c r="L417" t="str">
        <f>IF($J417=0,"",IF(INDEX('Прайс и заказ'!Q:Q,$J417)="","",INDEX('Прайс и заказ'!Q:Q,$J417)))</f>
      </c>
    </row>
    <row r="418" spans="1:12" customHeight="1" ht="40">
      <c r="A418" s="13" t="str">
        <f>IF($J418=0,"",IFERROR(_xlfn.IMAGE(INDEX('Прайс и заказ'!$O:$O,$J418)),""))</f>
      </c>
      <c r="B418" s="61" t="str">
        <f>IF($J418=0,"",IF(INDEX('Прайс и заказ'!B:B,$J418)="","",INDEX('Прайс и заказ'!B:B,$J418)))</f>
      </c>
      <c r="C418" s="64" t="str">
        <f>IF($J418=0,"",IF(INDEX('Прайс и заказ'!C:C,$J418)="","",INDEX('Прайс и заказ'!C:C,$J418)))</f>
      </c>
      <c r="D418" s="64" t="str">
        <f>IF($J418=0,"",IF(INDEX('Прайс и заказ'!D:D,$J418)="","",INDEX('Прайс и заказ'!D:D,$J418)))</f>
      </c>
      <c r="E418" s="61" t="str">
        <f>IF($J418=0,"",IF(INDEX('Прайс и заказ'!F:F,$J418)="","",INDEX('Прайс и заказ'!F:F,$J418)))</f>
      </c>
      <c r="F418" s="62" t="str">
        <f>IF($J418=0,"",IF(INDEX('Прайс и заказ'!I:I,$J418)="","",INDEX('Прайс и заказ'!I:I,$J418)))</f>
      </c>
      <c r="G418" s="63" t="str">
        <f>IF($J418=0,"",IF(INDEX('Прайс и заказ'!K:K,$J418)="","",INDEX('Прайс и заказ'!K:K,$J418)))</f>
      </c>
      <c r="H418" s="62" t="str">
        <f>IF($J418=0,"",IF(INDEX('Прайс и заказ'!L:L,$J418)="","",INDEX('Прайс и заказ'!L:L,$J418)))</f>
      </c>
      <c r="I418" s="13" t="str">
        <f>IF($J418=0,"",IF(INDEX('Прайс и заказ'!M:M,$J418)="","",INDEX('Прайс и заказ'!M:M,$J418)))</f>
      </c>
      <c r="J418" t="str">
        <f>IFERROR(MATCH(410,'Прайс и заказ'!$N$7:$N$623,0)+6,0)</f>
      </c>
      <c r="L418" t="str">
        <f>IF($J418=0,"",IF(INDEX('Прайс и заказ'!Q:Q,$J418)="","",INDEX('Прайс и заказ'!Q:Q,$J418)))</f>
      </c>
    </row>
    <row r="419" spans="1:12" customHeight="1" ht="40">
      <c r="A419" s="13" t="str">
        <f>IF($J419=0,"",IFERROR(_xlfn.IMAGE(INDEX('Прайс и заказ'!$O:$O,$J419)),""))</f>
      </c>
      <c r="B419" s="61" t="str">
        <f>IF($J419=0,"",IF(INDEX('Прайс и заказ'!B:B,$J419)="","",INDEX('Прайс и заказ'!B:B,$J419)))</f>
      </c>
      <c r="C419" s="64" t="str">
        <f>IF($J419=0,"",IF(INDEX('Прайс и заказ'!C:C,$J419)="","",INDEX('Прайс и заказ'!C:C,$J419)))</f>
      </c>
      <c r="D419" s="64" t="str">
        <f>IF($J419=0,"",IF(INDEX('Прайс и заказ'!D:D,$J419)="","",INDEX('Прайс и заказ'!D:D,$J419)))</f>
      </c>
      <c r="E419" s="61" t="str">
        <f>IF($J419=0,"",IF(INDEX('Прайс и заказ'!F:F,$J419)="","",INDEX('Прайс и заказ'!F:F,$J419)))</f>
      </c>
      <c r="F419" s="62" t="str">
        <f>IF($J419=0,"",IF(INDEX('Прайс и заказ'!I:I,$J419)="","",INDEX('Прайс и заказ'!I:I,$J419)))</f>
      </c>
      <c r="G419" s="63" t="str">
        <f>IF($J419=0,"",IF(INDEX('Прайс и заказ'!K:K,$J419)="","",INDEX('Прайс и заказ'!K:K,$J419)))</f>
      </c>
      <c r="H419" s="62" t="str">
        <f>IF($J419=0,"",IF(INDEX('Прайс и заказ'!L:L,$J419)="","",INDEX('Прайс и заказ'!L:L,$J419)))</f>
      </c>
      <c r="I419" s="13" t="str">
        <f>IF($J419=0,"",IF(INDEX('Прайс и заказ'!M:M,$J419)="","",INDEX('Прайс и заказ'!M:M,$J419)))</f>
      </c>
      <c r="J419" t="str">
        <f>IFERROR(MATCH(411,'Прайс и заказ'!$N$7:$N$623,0)+6,0)</f>
      </c>
      <c r="L419" t="str">
        <f>IF($J419=0,"",IF(INDEX('Прайс и заказ'!Q:Q,$J419)="","",INDEX('Прайс и заказ'!Q:Q,$J419)))</f>
      </c>
    </row>
    <row r="420" spans="1:12" customHeight="1" ht="40">
      <c r="A420" s="13" t="str">
        <f>IF($J420=0,"",IFERROR(_xlfn.IMAGE(INDEX('Прайс и заказ'!$O:$O,$J420)),""))</f>
      </c>
      <c r="B420" s="61" t="str">
        <f>IF($J420=0,"",IF(INDEX('Прайс и заказ'!B:B,$J420)="","",INDEX('Прайс и заказ'!B:B,$J420)))</f>
      </c>
      <c r="C420" s="64" t="str">
        <f>IF($J420=0,"",IF(INDEX('Прайс и заказ'!C:C,$J420)="","",INDEX('Прайс и заказ'!C:C,$J420)))</f>
      </c>
      <c r="D420" s="64" t="str">
        <f>IF($J420=0,"",IF(INDEX('Прайс и заказ'!D:D,$J420)="","",INDEX('Прайс и заказ'!D:D,$J420)))</f>
      </c>
      <c r="E420" s="61" t="str">
        <f>IF($J420=0,"",IF(INDEX('Прайс и заказ'!F:F,$J420)="","",INDEX('Прайс и заказ'!F:F,$J420)))</f>
      </c>
      <c r="F420" s="62" t="str">
        <f>IF($J420=0,"",IF(INDEX('Прайс и заказ'!I:I,$J420)="","",INDEX('Прайс и заказ'!I:I,$J420)))</f>
      </c>
      <c r="G420" s="63" t="str">
        <f>IF($J420=0,"",IF(INDEX('Прайс и заказ'!K:K,$J420)="","",INDEX('Прайс и заказ'!K:K,$J420)))</f>
      </c>
      <c r="H420" s="62" t="str">
        <f>IF($J420=0,"",IF(INDEX('Прайс и заказ'!L:L,$J420)="","",INDEX('Прайс и заказ'!L:L,$J420)))</f>
      </c>
      <c r="I420" s="13" t="str">
        <f>IF($J420=0,"",IF(INDEX('Прайс и заказ'!M:M,$J420)="","",INDEX('Прайс и заказ'!M:M,$J420)))</f>
      </c>
      <c r="J420" t="str">
        <f>IFERROR(MATCH(412,'Прайс и заказ'!$N$7:$N$623,0)+6,0)</f>
      </c>
      <c r="L420" t="str">
        <f>IF($J420=0,"",IF(INDEX('Прайс и заказ'!Q:Q,$J420)="","",INDEX('Прайс и заказ'!Q:Q,$J420)))</f>
      </c>
    </row>
    <row r="421" spans="1:12" customHeight="1" ht="40">
      <c r="A421" s="13" t="str">
        <f>IF($J421=0,"",IFERROR(_xlfn.IMAGE(INDEX('Прайс и заказ'!$O:$O,$J421)),""))</f>
      </c>
      <c r="B421" s="61" t="str">
        <f>IF($J421=0,"",IF(INDEX('Прайс и заказ'!B:B,$J421)="","",INDEX('Прайс и заказ'!B:B,$J421)))</f>
      </c>
      <c r="C421" s="64" t="str">
        <f>IF($J421=0,"",IF(INDEX('Прайс и заказ'!C:C,$J421)="","",INDEX('Прайс и заказ'!C:C,$J421)))</f>
      </c>
      <c r="D421" s="64" t="str">
        <f>IF($J421=0,"",IF(INDEX('Прайс и заказ'!D:D,$J421)="","",INDEX('Прайс и заказ'!D:D,$J421)))</f>
      </c>
      <c r="E421" s="61" t="str">
        <f>IF($J421=0,"",IF(INDEX('Прайс и заказ'!F:F,$J421)="","",INDEX('Прайс и заказ'!F:F,$J421)))</f>
      </c>
      <c r="F421" s="62" t="str">
        <f>IF($J421=0,"",IF(INDEX('Прайс и заказ'!I:I,$J421)="","",INDEX('Прайс и заказ'!I:I,$J421)))</f>
      </c>
      <c r="G421" s="63" t="str">
        <f>IF($J421=0,"",IF(INDEX('Прайс и заказ'!K:K,$J421)="","",INDEX('Прайс и заказ'!K:K,$J421)))</f>
      </c>
      <c r="H421" s="62" t="str">
        <f>IF($J421=0,"",IF(INDEX('Прайс и заказ'!L:L,$J421)="","",INDEX('Прайс и заказ'!L:L,$J421)))</f>
      </c>
      <c r="I421" s="13" t="str">
        <f>IF($J421=0,"",IF(INDEX('Прайс и заказ'!M:M,$J421)="","",INDEX('Прайс и заказ'!M:M,$J421)))</f>
      </c>
      <c r="J421" t="str">
        <f>IFERROR(MATCH(413,'Прайс и заказ'!$N$7:$N$623,0)+6,0)</f>
      </c>
      <c r="L421" t="str">
        <f>IF($J421=0,"",IF(INDEX('Прайс и заказ'!Q:Q,$J421)="","",INDEX('Прайс и заказ'!Q:Q,$J421)))</f>
      </c>
    </row>
    <row r="422" spans="1:12" customHeight="1" ht="40">
      <c r="A422" s="13" t="str">
        <f>IF($J422=0,"",IFERROR(_xlfn.IMAGE(INDEX('Прайс и заказ'!$O:$O,$J422)),""))</f>
      </c>
      <c r="B422" s="61" t="str">
        <f>IF($J422=0,"",IF(INDEX('Прайс и заказ'!B:B,$J422)="","",INDEX('Прайс и заказ'!B:B,$J422)))</f>
      </c>
      <c r="C422" s="64" t="str">
        <f>IF($J422=0,"",IF(INDEX('Прайс и заказ'!C:C,$J422)="","",INDEX('Прайс и заказ'!C:C,$J422)))</f>
      </c>
      <c r="D422" s="64" t="str">
        <f>IF($J422=0,"",IF(INDEX('Прайс и заказ'!D:D,$J422)="","",INDEX('Прайс и заказ'!D:D,$J422)))</f>
      </c>
      <c r="E422" s="61" t="str">
        <f>IF($J422=0,"",IF(INDEX('Прайс и заказ'!F:F,$J422)="","",INDEX('Прайс и заказ'!F:F,$J422)))</f>
      </c>
      <c r="F422" s="62" t="str">
        <f>IF($J422=0,"",IF(INDEX('Прайс и заказ'!I:I,$J422)="","",INDEX('Прайс и заказ'!I:I,$J422)))</f>
      </c>
      <c r="G422" s="63" t="str">
        <f>IF($J422=0,"",IF(INDEX('Прайс и заказ'!K:K,$J422)="","",INDEX('Прайс и заказ'!K:K,$J422)))</f>
      </c>
      <c r="H422" s="62" t="str">
        <f>IF($J422=0,"",IF(INDEX('Прайс и заказ'!L:L,$J422)="","",INDEX('Прайс и заказ'!L:L,$J422)))</f>
      </c>
      <c r="I422" s="13" t="str">
        <f>IF($J422=0,"",IF(INDEX('Прайс и заказ'!M:M,$J422)="","",INDEX('Прайс и заказ'!M:M,$J422)))</f>
      </c>
      <c r="J422" t="str">
        <f>IFERROR(MATCH(414,'Прайс и заказ'!$N$7:$N$623,0)+6,0)</f>
      </c>
      <c r="L422" t="str">
        <f>IF($J422=0,"",IF(INDEX('Прайс и заказ'!Q:Q,$J422)="","",INDEX('Прайс и заказ'!Q:Q,$J422)))</f>
      </c>
    </row>
    <row r="423" spans="1:12" customHeight="1" ht="40">
      <c r="A423" s="13" t="str">
        <f>IF($J423=0,"",IFERROR(_xlfn.IMAGE(INDEX('Прайс и заказ'!$O:$O,$J423)),""))</f>
      </c>
      <c r="B423" s="61" t="str">
        <f>IF($J423=0,"",IF(INDEX('Прайс и заказ'!B:B,$J423)="","",INDEX('Прайс и заказ'!B:B,$J423)))</f>
      </c>
      <c r="C423" s="64" t="str">
        <f>IF($J423=0,"",IF(INDEX('Прайс и заказ'!C:C,$J423)="","",INDEX('Прайс и заказ'!C:C,$J423)))</f>
      </c>
      <c r="D423" s="64" t="str">
        <f>IF($J423=0,"",IF(INDEX('Прайс и заказ'!D:D,$J423)="","",INDEX('Прайс и заказ'!D:D,$J423)))</f>
      </c>
      <c r="E423" s="61" t="str">
        <f>IF($J423=0,"",IF(INDEX('Прайс и заказ'!F:F,$J423)="","",INDEX('Прайс и заказ'!F:F,$J423)))</f>
      </c>
      <c r="F423" s="62" t="str">
        <f>IF($J423=0,"",IF(INDEX('Прайс и заказ'!I:I,$J423)="","",INDEX('Прайс и заказ'!I:I,$J423)))</f>
      </c>
      <c r="G423" s="63" t="str">
        <f>IF($J423=0,"",IF(INDEX('Прайс и заказ'!K:K,$J423)="","",INDEX('Прайс и заказ'!K:K,$J423)))</f>
      </c>
      <c r="H423" s="62" t="str">
        <f>IF($J423=0,"",IF(INDEX('Прайс и заказ'!L:L,$J423)="","",INDEX('Прайс и заказ'!L:L,$J423)))</f>
      </c>
      <c r="I423" s="13" t="str">
        <f>IF($J423=0,"",IF(INDEX('Прайс и заказ'!M:M,$J423)="","",INDEX('Прайс и заказ'!M:M,$J423)))</f>
      </c>
      <c r="J423" t="str">
        <f>IFERROR(MATCH(415,'Прайс и заказ'!$N$7:$N$623,0)+6,0)</f>
      </c>
      <c r="L423" t="str">
        <f>IF($J423=0,"",IF(INDEX('Прайс и заказ'!Q:Q,$J423)="","",INDEX('Прайс и заказ'!Q:Q,$J423)))</f>
      </c>
    </row>
    <row r="424" spans="1:12" customHeight="1" ht="40">
      <c r="A424" s="13" t="str">
        <f>IF($J424=0,"",IFERROR(_xlfn.IMAGE(INDEX('Прайс и заказ'!$O:$O,$J424)),""))</f>
      </c>
      <c r="B424" s="61" t="str">
        <f>IF($J424=0,"",IF(INDEX('Прайс и заказ'!B:B,$J424)="","",INDEX('Прайс и заказ'!B:B,$J424)))</f>
      </c>
      <c r="C424" s="64" t="str">
        <f>IF($J424=0,"",IF(INDEX('Прайс и заказ'!C:C,$J424)="","",INDEX('Прайс и заказ'!C:C,$J424)))</f>
      </c>
      <c r="D424" s="64" t="str">
        <f>IF($J424=0,"",IF(INDEX('Прайс и заказ'!D:D,$J424)="","",INDEX('Прайс и заказ'!D:D,$J424)))</f>
      </c>
      <c r="E424" s="61" t="str">
        <f>IF($J424=0,"",IF(INDEX('Прайс и заказ'!F:F,$J424)="","",INDEX('Прайс и заказ'!F:F,$J424)))</f>
      </c>
      <c r="F424" s="62" t="str">
        <f>IF($J424=0,"",IF(INDEX('Прайс и заказ'!I:I,$J424)="","",INDEX('Прайс и заказ'!I:I,$J424)))</f>
      </c>
      <c r="G424" s="63" t="str">
        <f>IF($J424=0,"",IF(INDEX('Прайс и заказ'!K:K,$J424)="","",INDEX('Прайс и заказ'!K:K,$J424)))</f>
      </c>
      <c r="H424" s="62" t="str">
        <f>IF($J424=0,"",IF(INDEX('Прайс и заказ'!L:L,$J424)="","",INDEX('Прайс и заказ'!L:L,$J424)))</f>
      </c>
      <c r="I424" s="13" t="str">
        <f>IF($J424=0,"",IF(INDEX('Прайс и заказ'!M:M,$J424)="","",INDEX('Прайс и заказ'!M:M,$J424)))</f>
      </c>
      <c r="J424" t="str">
        <f>IFERROR(MATCH(416,'Прайс и заказ'!$N$7:$N$623,0)+6,0)</f>
      </c>
      <c r="L424" t="str">
        <f>IF($J424=0,"",IF(INDEX('Прайс и заказ'!Q:Q,$J424)="","",INDEX('Прайс и заказ'!Q:Q,$J424)))</f>
      </c>
    </row>
    <row r="425" spans="1:12" customHeight="1" ht="40">
      <c r="A425" s="13" t="str">
        <f>IF($J425=0,"",IFERROR(_xlfn.IMAGE(INDEX('Прайс и заказ'!$O:$O,$J425)),""))</f>
      </c>
      <c r="B425" s="61" t="str">
        <f>IF($J425=0,"",IF(INDEX('Прайс и заказ'!B:B,$J425)="","",INDEX('Прайс и заказ'!B:B,$J425)))</f>
      </c>
      <c r="C425" s="64" t="str">
        <f>IF($J425=0,"",IF(INDEX('Прайс и заказ'!C:C,$J425)="","",INDEX('Прайс и заказ'!C:C,$J425)))</f>
      </c>
      <c r="D425" s="64" t="str">
        <f>IF($J425=0,"",IF(INDEX('Прайс и заказ'!D:D,$J425)="","",INDEX('Прайс и заказ'!D:D,$J425)))</f>
      </c>
      <c r="E425" s="61" t="str">
        <f>IF($J425=0,"",IF(INDEX('Прайс и заказ'!F:F,$J425)="","",INDEX('Прайс и заказ'!F:F,$J425)))</f>
      </c>
      <c r="F425" s="62" t="str">
        <f>IF($J425=0,"",IF(INDEX('Прайс и заказ'!I:I,$J425)="","",INDEX('Прайс и заказ'!I:I,$J425)))</f>
      </c>
      <c r="G425" s="63" t="str">
        <f>IF($J425=0,"",IF(INDEX('Прайс и заказ'!K:K,$J425)="","",INDEX('Прайс и заказ'!K:K,$J425)))</f>
      </c>
      <c r="H425" s="62" t="str">
        <f>IF($J425=0,"",IF(INDEX('Прайс и заказ'!L:L,$J425)="","",INDEX('Прайс и заказ'!L:L,$J425)))</f>
      </c>
      <c r="I425" s="13" t="str">
        <f>IF($J425=0,"",IF(INDEX('Прайс и заказ'!M:M,$J425)="","",INDEX('Прайс и заказ'!M:M,$J425)))</f>
      </c>
      <c r="J425" t="str">
        <f>IFERROR(MATCH(417,'Прайс и заказ'!$N$7:$N$623,0)+6,0)</f>
      </c>
      <c r="L425" t="str">
        <f>IF($J425=0,"",IF(INDEX('Прайс и заказ'!Q:Q,$J425)="","",INDEX('Прайс и заказ'!Q:Q,$J425)))</f>
      </c>
    </row>
    <row r="426" spans="1:12" customHeight="1" ht="40">
      <c r="A426" s="13" t="str">
        <f>IF($J426=0,"",IFERROR(_xlfn.IMAGE(INDEX('Прайс и заказ'!$O:$O,$J426)),""))</f>
      </c>
      <c r="B426" s="61" t="str">
        <f>IF($J426=0,"",IF(INDEX('Прайс и заказ'!B:B,$J426)="","",INDEX('Прайс и заказ'!B:B,$J426)))</f>
      </c>
      <c r="C426" s="64" t="str">
        <f>IF($J426=0,"",IF(INDEX('Прайс и заказ'!C:C,$J426)="","",INDEX('Прайс и заказ'!C:C,$J426)))</f>
      </c>
      <c r="D426" s="64" t="str">
        <f>IF($J426=0,"",IF(INDEX('Прайс и заказ'!D:D,$J426)="","",INDEX('Прайс и заказ'!D:D,$J426)))</f>
      </c>
      <c r="E426" s="61" t="str">
        <f>IF($J426=0,"",IF(INDEX('Прайс и заказ'!F:F,$J426)="","",INDEX('Прайс и заказ'!F:F,$J426)))</f>
      </c>
      <c r="F426" s="62" t="str">
        <f>IF($J426=0,"",IF(INDEX('Прайс и заказ'!I:I,$J426)="","",INDEX('Прайс и заказ'!I:I,$J426)))</f>
      </c>
      <c r="G426" s="63" t="str">
        <f>IF($J426=0,"",IF(INDEX('Прайс и заказ'!K:K,$J426)="","",INDEX('Прайс и заказ'!K:K,$J426)))</f>
      </c>
      <c r="H426" s="62" t="str">
        <f>IF($J426=0,"",IF(INDEX('Прайс и заказ'!L:L,$J426)="","",INDEX('Прайс и заказ'!L:L,$J426)))</f>
      </c>
      <c r="I426" s="13" t="str">
        <f>IF($J426=0,"",IF(INDEX('Прайс и заказ'!M:M,$J426)="","",INDEX('Прайс и заказ'!M:M,$J426)))</f>
      </c>
      <c r="J426" t="str">
        <f>IFERROR(MATCH(418,'Прайс и заказ'!$N$7:$N$623,0)+6,0)</f>
      </c>
      <c r="L426" t="str">
        <f>IF($J426=0,"",IF(INDEX('Прайс и заказ'!Q:Q,$J426)="","",INDEX('Прайс и заказ'!Q:Q,$J426)))</f>
      </c>
    </row>
    <row r="427" spans="1:12" customHeight="1" ht="40">
      <c r="A427" s="13" t="str">
        <f>IF($J427=0,"",IFERROR(_xlfn.IMAGE(INDEX('Прайс и заказ'!$O:$O,$J427)),""))</f>
      </c>
      <c r="B427" s="61" t="str">
        <f>IF($J427=0,"",IF(INDEX('Прайс и заказ'!B:B,$J427)="","",INDEX('Прайс и заказ'!B:B,$J427)))</f>
      </c>
      <c r="C427" s="64" t="str">
        <f>IF($J427=0,"",IF(INDEX('Прайс и заказ'!C:C,$J427)="","",INDEX('Прайс и заказ'!C:C,$J427)))</f>
      </c>
      <c r="D427" s="64" t="str">
        <f>IF($J427=0,"",IF(INDEX('Прайс и заказ'!D:D,$J427)="","",INDEX('Прайс и заказ'!D:D,$J427)))</f>
      </c>
      <c r="E427" s="61" t="str">
        <f>IF($J427=0,"",IF(INDEX('Прайс и заказ'!F:F,$J427)="","",INDEX('Прайс и заказ'!F:F,$J427)))</f>
      </c>
      <c r="F427" s="62" t="str">
        <f>IF($J427=0,"",IF(INDEX('Прайс и заказ'!I:I,$J427)="","",INDEX('Прайс и заказ'!I:I,$J427)))</f>
      </c>
      <c r="G427" s="63" t="str">
        <f>IF($J427=0,"",IF(INDEX('Прайс и заказ'!K:K,$J427)="","",INDEX('Прайс и заказ'!K:K,$J427)))</f>
      </c>
      <c r="H427" s="62" t="str">
        <f>IF($J427=0,"",IF(INDEX('Прайс и заказ'!L:L,$J427)="","",INDEX('Прайс и заказ'!L:L,$J427)))</f>
      </c>
      <c r="I427" s="13" t="str">
        <f>IF($J427=0,"",IF(INDEX('Прайс и заказ'!M:M,$J427)="","",INDEX('Прайс и заказ'!M:M,$J427)))</f>
      </c>
      <c r="J427" t="str">
        <f>IFERROR(MATCH(419,'Прайс и заказ'!$N$7:$N$623,0)+6,0)</f>
      </c>
      <c r="L427" t="str">
        <f>IF($J427=0,"",IF(INDEX('Прайс и заказ'!Q:Q,$J427)="","",INDEX('Прайс и заказ'!Q:Q,$J427)))</f>
      </c>
    </row>
    <row r="428" spans="1:12" customHeight="1" ht="40">
      <c r="A428" s="13" t="str">
        <f>IF($J428=0,"",IFERROR(_xlfn.IMAGE(INDEX('Прайс и заказ'!$O:$O,$J428)),""))</f>
      </c>
      <c r="B428" s="61" t="str">
        <f>IF($J428=0,"",IF(INDEX('Прайс и заказ'!B:B,$J428)="","",INDEX('Прайс и заказ'!B:B,$J428)))</f>
      </c>
      <c r="C428" s="64" t="str">
        <f>IF($J428=0,"",IF(INDEX('Прайс и заказ'!C:C,$J428)="","",INDEX('Прайс и заказ'!C:C,$J428)))</f>
      </c>
      <c r="D428" s="64" t="str">
        <f>IF($J428=0,"",IF(INDEX('Прайс и заказ'!D:D,$J428)="","",INDEX('Прайс и заказ'!D:D,$J428)))</f>
      </c>
      <c r="E428" s="61" t="str">
        <f>IF($J428=0,"",IF(INDEX('Прайс и заказ'!F:F,$J428)="","",INDEX('Прайс и заказ'!F:F,$J428)))</f>
      </c>
      <c r="F428" s="62" t="str">
        <f>IF($J428=0,"",IF(INDEX('Прайс и заказ'!I:I,$J428)="","",INDEX('Прайс и заказ'!I:I,$J428)))</f>
      </c>
      <c r="G428" s="63" t="str">
        <f>IF($J428=0,"",IF(INDEX('Прайс и заказ'!K:K,$J428)="","",INDEX('Прайс и заказ'!K:K,$J428)))</f>
      </c>
      <c r="H428" s="62" t="str">
        <f>IF($J428=0,"",IF(INDEX('Прайс и заказ'!L:L,$J428)="","",INDEX('Прайс и заказ'!L:L,$J428)))</f>
      </c>
      <c r="I428" s="13" t="str">
        <f>IF($J428=0,"",IF(INDEX('Прайс и заказ'!M:M,$J428)="","",INDEX('Прайс и заказ'!M:M,$J428)))</f>
      </c>
      <c r="J428" t="str">
        <f>IFERROR(MATCH(420,'Прайс и заказ'!$N$7:$N$623,0)+6,0)</f>
      </c>
      <c r="L428" t="str">
        <f>IF($J428=0,"",IF(INDEX('Прайс и заказ'!Q:Q,$J428)="","",INDEX('Прайс и заказ'!Q:Q,$J428)))</f>
      </c>
    </row>
    <row r="429" spans="1:12" customHeight="1" ht="40">
      <c r="A429" s="13" t="str">
        <f>IF($J429=0,"",IFERROR(_xlfn.IMAGE(INDEX('Прайс и заказ'!$O:$O,$J429)),""))</f>
      </c>
      <c r="B429" s="61" t="str">
        <f>IF($J429=0,"",IF(INDEX('Прайс и заказ'!B:B,$J429)="","",INDEX('Прайс и заказ'!B:B,$J429)))</f>
      </c>
      <c r="C429" s="64" t="str">
        <f>IF($J429=0,"",IF(INDEX('Прайс и заказ'!C:C,$J429)="","",INDEX('Прайс и заказ'!C:C,$J429)))</f>
      </c>
      <c r="D429" s="64" t="str">
        <f>IF($J429=0,"",IF(INDEX('Прайс и заказ'!D:D,$J429)="","",INDEX('Прайс и заказ'!D:D,$J429)))</f>
      </c>
      <c r="E429" s="61" t="str">
        <f>IF($J429=0,"",IF(INDEX('Прайс и заказ'!F:F,$J429)="","",INDEX('Прайс и заказ'!F:F,$J429)))</f>
      </c>
      <c r="F429" s="62" t="str">
        <f>IF($J429=0,"",IF(INDEX('Прайс и заказ'!I:I,$J429)="","",INDEX('Прайс и заказ'!I:I,$J429)))</f>
      </c>
      <c r="G429" s="63" t="str">
        <f>IF($J429=0,"",IF(INDEX('Прайс и заказ'!K:K,$J429)="","",INDEX('Прайс и заказ'!K:K,$J429)))</f>
      </c>
      <c r="H429" s="62" t="str">
        <f>IF($J429=0,"",IF(INDEX('Прайс и заказ'!L:L,$J429)="","",INDEX('Прайс и заказ'!L:L,$J429)))</f>
      </c>
      <c r="I429" s="13" t="str">
        <f>IF($J429=0,"",IF(INDEX('Прайс и заказ'!M:M,$J429)="","",INDEX('Прайс и заказ'!M:M,$J429)))</f>
      </c>
      <c r="J429" t="str">
        <f>IFERROR(MATCH(421,'Прайс и заказ'!$N$7:$N$623,0)+6,0)</f>
      </c>
      <c r="L429" t="str">
        <f>IF($J429=0,"",IF(INDEX('Прайс и заказ'!Q:Q,$J429)="","",INDEX('Прайс и заказ'!Q:Q,$J429)))</f>
      </c>
    </row>
    <row r="430" spans="1:12" customHeight="1" ht="40">
      <c r="A430" s="13" t="str">
        <f>IF($J430=0,"",IFERROR(_xlfn.IMAGE(INDEX('Прайс и заказ'!$O:$O,$J430)),""))</f>
      </c>
      <c r="B430" s="61" t="str">
        <f>IF($J430=0,"",IF(INDEX('Прайс и заказ'!B:B,$J430)="","",INDEX('Прайс и заказ'!B:B,$J430)))</f>
      </c>
      <c r="C430" s="64" t="str">
        <f>IF($J430=0,"",IF(INDEX('Прайс и заказ'!C:C,$J430)="","",INDEX('Прайс и заказ'!C:C,$J430)))</f>
      </c>
      <c r="D430" s="64" t="str">
        <f>IF($J430=0,"",IF(INDEX('Прайс и заказ'!D:D,$J430)="","",INDEX('Прайс и заказ'!D:D,$J430)))</f>
      </c>
      <c r="E430" s="61" t="str">
        <f>IF($J430=0,"",IF(INDEX('Прайс и заказ'!F:F,$J430)="","",INDEX('Прайс и заказ'!F:F,$J430)))</f>
      </c>
      <c r="F430" s="62" t="str">
        <f>IF($J430=0,"",IF(INDEX('Прайс и заказ'!I:I,$J430)="","",INDEX('Прайс и заказ'!I:I,$J430)))</f>
      </c>
      <c r="G430" s="63" t="str">
        <f>IF($J430=0,"",IF(INDEX('Прайс и заказ'!K:K,$J430)="","",INDEX('Прайс и заказ'!K:K,$J430)))</f>
      </c>
      <c r="H430" s="62" t="str">
        <f>IF($J430=0,"",IF(INDEX('Прайс и заказ'!L:L,$J430)="","",INDEX('Прайс и заказ'!L:L,$J430)))</f>
      </c>
      <c r="I430" s="13" t="str">
        <f>IF($J430=0,"",IF(INDEX('Прайс и заказ'!M:M,$J430)="","",INDEX('Прайс и заказ'!M:M,$J430)))</f>
      </c>
      <c r="J430" t="str">
        <f>IFERROR(MATCH(422,'Прайс и заказ'!$N$7:$N$623,0)+6,0)</f>
      </c>
      <c r="L430" t="str">
        <f>IF($J430=0,"",IF(INDEX('Прайс и заказ'!Q:Q,$J430)="","",INDEX('Прайс и заказ'!Q:Q,$J430)))</f>
      </c>
    </row>
    <row r="431" spans="1:12" customHeight="1" ht="40">
      <c r="A431" s="13" t="str">
        <f>IF($J431=0,"",IFERROR(_xlfn.IMAGE(INDEX('Прайс и заказ'!$O:$O,$J431)),""))</f>
      </c>
      <c r="B431" s="61" t="str">
        <f>IF($J431=0,"",IF(INDEX('Прайс и заказ'!B:B,$J431)="","",INDEX('Прайс и заказ'!B:B,$J431)))</f>
      </c>
      <c r="C431" s="64" t="str">
        <f>IF($J431=0,"",IF(INDEX('Прайс и заказ'!C:C,$J431)="","",INDEX('Прайс и заказ'!C:C,$J431)))</f>
      </c>
      <c r="D431" s="64" t="str">
        <f>IF($J431=0,"",IF(INDEX('Прайс и заказ'!D:D,$J431)="","",INDEX('Прайс и заказ'!D:D,$J431)))</f>
      </c>
      <c r="E431" s="61" t="str">
        <f>IF($J431=0,"",IF(INDEX('Прайс и заказ'!F:F,$J431)="","",INDEX('Прайс и заказ'!F:F,$J431)))</f>
      </c>
      <c r="F431" s="62" t="str">
        <f>IF($J431=0,"",IF(INDEX('Прайс и заказ'!I:I,$J431)="","",INDEX('Прайс и заказ'!I:I,$J431)))</f>
      </c>
      <c r="G431" s="63" t="str">
        <f>IF($J431=0,"",IF(INDEX('Прайс и заказ'!K:K,$J431)="","",INDEX('Прайс и заказ'!K:K,$J431)))</f>
      </c>
      <c r="H431" s="62" t="str">
        <f>IF($J431=0,"",IF(INDEX('Прайс и заказ'!L:L,$J431)="","",INDEX('Прайс и заказ'!L:L,$J431)))</f>
      </c>
      <c r="I431" s="13" t="str">
        <f>IF($J431=0,"",IF(INDEX('Прайс и заказ'!M:M,$J431)="","",INDEX('Прайс и заказ'!M:M,$J431)))</f>
      </c>
      <c r="J431" t="str">
        <f>IFERROR(MATCH(423,'Прайс и заказ'!$N$7:$N$623,0)+6,0)</f>
      </c>
      <c r="L431" t="str">
        <f>IF($J431=0,"",IF(INDEX('Прайс и заказ'!Q:Q,$J431)="","",INDEX('Прайс и заказ'!Q:Q,$J431)))</f>
      </c>
    </row>
    <row r="432" spans="1:12" customHeight="1" ht="40">
      <c r="A432" s="13" t="str">
        <f>IF($J432=0,"",IFERROR(_xlfn.IMAGE(INDEX('Прайс и заказ'!$O:$O,$J432)),""))</f>
      </c>
      <c r="B432" s="61" t="str">
        <f>IF($J432=0,"",IF(INDEX('Прайс и заказ'!B:B,$J432)="","",INDEX('Прайс и заказ'!B:B,$J432)))</f>
      </c>
      <c r="C432" s="64" t="str">
        <f>IF($J432=0,"",IF(INDEX('Прайс и заказ'!C:C,$J432)="","",INDEX('Прайс и заказ'!C:C,$J432)))</f>
      </c>
      <c r="D432" s="64" t="str">
        <f>IF($J432=0,"",IF(INDEX('Прайс и заказ'!D:D,$J432)="","",INDEX('Прайс и заказ'!D:D,$J432)))</f>
      </c>
      <c r="E432" s="61" t="str">
        <f>IF($J432=0,"",IF(INDEX('Прайс и заказ'!F:F,$J432)="","",INDEX('Прайс и заказ'!F:F,$J432)))</f>
      </c>
      <c r="F432" s="62" t="str">
        <f>IF($J432=0,"",IF(INDEX('Прайс и заказ'!I:I,$J432)="","",INDEX('Прайс и заказ'!I:I,$J432)))</f>
      </c>
      <c r="G432" s="63" t="str">
        <f>IF($J432=0,"",IF(INDEX('Прайс и заказ'!K:K,$J432)="","",INDEX('Прайс и заказ'!K:K,$J432)))</f>
      </c>
      <c r="H432" s="62" t="str">
        <f>IF($J432=0,"",IF(INDEX('Прайс и заказ'!L:L,$J432)="","",INDEX('Прайс и заказ'!L:L,$J432)))</f>
      </c>
      <c r="I432" s="13" t="str">
        <f>IF($J432=0,"",IF(INDEX('Прайс и заказ'!M:M,$J432)="","",INDEX('Прайс и заказ'!M:M,$J432)))</f>
      </c>
      <c r="J432" t="str">
        <f>IFERROR(MATCH(424,'Прайс и заказ'!$N$7:$N$623,0)+6,0)</f>
      </c>
      <c r="L432" t="str">
        <f>IF($J432=0,"",IF(INDEX('Прайс и заказ'!Q:Q,$J432)="","",INDEX('Прайс и заказ'!Q:Q,$J432)))</f>
      </c>
    </row>
    <row r="433" spans="1:12" customHeight="1" ht="40">
      <c r="A433" s="13" t="str">
        <f>IF($J433=0,"",IFERROR(_xlfn.IMAGE(INDEX('Прайс и заказ'!$O:$O,$J433)),""))</f>
      </c>
      <c r="B433" s="61" t="str">
        <f>IF($J433=0,"",IF(INDEX('Прайс и заказ'!B:B,$J433)="","",INDEX('Прайс и заказ'!B:B,$J433)))</f>
      </c>
      <c r="C433" s="64" t="str">
        <f>IF($J433=0,"",IF(INDEX('Прайс и заказ'!C:C,$J433)="","",INDEX('Прайс и заказ'!C:C,$J433)))</f>
      </c>
      <c r="D433" s="64" t="str">
        <f>IF($J433=0,"",IF(INDEX('Прайс и заказ'!D:D,$J433)="","",INDEX('Прайс и заказ'!D:D,$J433)))</f>
      </c>
      <c r="E433" s="61" t="str">
        <f>IF($J433=0,"",IF(INDEX('Прайс и заказ'!F:F,$J433)="","",INDEX('Прайс и заказ'!F:F,$J433)))</f>
      </c>
      <c r="F433" s="62" t="str">
        <f>IF($J433=0,"",IF(INDEX('Прайс и заказ'!I:I,$J433)="","",INDEX('Прайс и заказ'!I:I,$J433)))</f>
      </c>
      <c r="G433" s="63" t="str">
        <f>IF($J433=0,"",IF(INDEX('Прайс и заказ'!K:K,$J433)="","",INDEX('Прайс и заказ'!K:K,$J433)))</f>
      </c>
      <c r="H433" s="62" t="str">
        <f>IF($J433=0,"",IF(INDEX('Прайс и заказ'!L:L,$J433)="","",INDEX('Прайс и заказ'!L:L,$J433)))</f>
      </c>
      <c r="I433" s="13" t="str">
        <f>IF($J433=0,"",IF(INDEX('Прайс и заказ'!M:M,$J433)="","",INDEX('Прайс и заказ'!M:M,$J433)))</f>
      </c>
      <c r="J433" t="str">
        <f>IFERROR(MATCH(425,'Прайс и заказ'!$N$7:$N$623,0)+6,0)</f>
      </c>
      <c r="L433" t="str">
        <f>IF($J433=0,"",IF(INDEX('Прайс и заказ'!Q:Q,$J433)="","",INDEX('Прайс и заказ'!Q:Q,$J433)))</f>
      </c>
    </row>
    <row r="434" spans="1:12" customHeight="1" ht="40">
      <c r="A434" s="13" t="str">
        <f>IF($J434=0,"",IFERROR(_xlfn.IMAGE(INDEX('Прайс и заказ'!$O:$O,$J434)),""))</f>
      </c>
      <c r="B434" s="61" t="str">
        <f>IF($J434=0,"",IF(INDEX('Прайс и заказ'!B:B,$J434)="","",INDEX('Прайс и заказ'!B:B,$J434)))</f>
      </c>
      <c r="C434" s="64" t="str">
        <f>IF($J434=0,"",IF(INDEX('Прайс и заказ'!C:C,$J434)="","",INDEX('Прайс и заказ'!C:C,$J434)))</f>
      </c>
      <c r="D434" s="64" t="str">
        <f>IF($J434=0,"",IF(INDEX('Прайс и заказ'!D:D,$J434)="","",INDEX('Прайс и заказ'!D:D,$J434)))</f>
      </c>
      <c r="E434" s="61" t="str">
        <f>IF($J434=0,"",IF(INDEX('Прайс и заказ'!F:F,$J434)="","",INDEX('Прайс и заказ'!F:F,$J434)))</f>
      </c>
      <c r="F434" s="62" t="str">
        <f>IF($J434=0,"",IF(INDEX('Прайс и заказ'!I:I,$J434)="","",INDEX('Прайс и заказ'!I:I,$J434)))</f>
      </c>
      <c r="G434" s="63" t="str">
        <f>IF($J434=0,"",IF(INDEX('Прайс и заказ'!K:K,$J434)="","",INDEX('Прайс и заказ'!K:K,$J434)))</f>
      </c>
      <c r="H434" s="62" t="str">
        <f>IF($J434=0,"",IF(INDEX('Прайс и заказ'!L:L,$J434)="","",INDEX('Прайс и заказ'!L:L,$J434)))</f>
      </c>
      <c r="I434" s="13" t="str">
        <f>IF($J434=0,"",IF(INDEX('Прайс и заказ'!M:M,$J434)="","",INDEX('Прайс и заказ'!M:M,$J434)))</f>
      </c>
      <c r="J434" t="str">
        <f>IFERROR(MATCH(426,'Прайс и заказ'!$N$7:$N$623,0)+6,0)</f>
      </c>
      <c r="L434" t="str">
        <f>IF($J434=0,"",IF(INDEX('Прайс и заказ'!Q:Q,$J434)="","",INDEX('Прайс и заказ'!Q:Q,$J434)))</f>
      </c>
    </row>
    <row r="435" spans="1:12" customHeight="1" ht="40">
      <c r="A435" s="13" t="str">
        <f>IF($J435=0,"",IFERROR(_xlfn.IMAGE(INDEX('Прайс и заказ'!$O:$O,$J435)),""))</f>
      </c>
      <c r="B435" s="61" t="str">
        <f>IF($J435=0,"",IF(INDEX('Прайс и заказ'!B:B,$J435)="","",INDEX('Прайс и заказ'!B:B,$J435)))</f>
      </c>
      <c r="C435" s="64" t="str">
        <f>IF($J435=0,"",IF(INDEX('Прайс и заказ'!C:C,$J435)="","",INDEX('Прайс и заказ'!C:C,$J435)))</f>
      </c>
      <c r="D435" s="64" t="str">
        <f>IF($J435=0,"",IF(INDEX('Прайс и заказ'!D:D,$J435)="","",INDEX('Прайс и заказ'!D:D,$J435)))</f>
      </c>
      <c r="E435" s="61" t="str">
        <f>IF($J435=0,"",IF(INDEX('Прайс и заказ'!F:F,$J435)="","",INDEX('Прайс и заказ'!F:F,$J435)))</f>
      </c>
      <c r="F435" s="62" t="str">
        <f>IF($J435=0,"",IF(INDEX('Прайс и заказ'!I:I,$J435)="","",INDEX('Прайс и заказ'!I:I,$J435)))</f>
      </c>
      <c r="G435" s="63" t="str">
        <f>IF($J435=0,"",IF(INDEX('Прайс и заказ'!K:K,$J435)="","",INDEX('Прайс и заказ'!K:K,$J435)))</f>
      </c>
      <c r="H435" s="62" t="str">
        <f>IF($J435=0,"",IF(INDEX('Прайс и заказ'!L:L,$J435)="","",INDEX('Прайс и заказ'!L:L,$J435)))</f>
      </c>
      <c r="I435" s="13" t="str">
        <f>IF($J435=0,"",IF(INDEX('Прайс и заказ'!M:M,$J435)="","",INDEX('Прайс и заказ'!M:M,$J435)))</f>
      </c>
      <c r="J435" t="str">
        <f>IFERROR(MATCH(427,'Прайс и заказ'!$N$7:$N$623,0)+6,0)</f>
      </c>
      <c r="L435" t="str">
        <f>IF($J435=0,"",IF(INDEX('Прайс и заказ'!Q:Q,$J435)="","",INDEX('Прайс и заказ'!Q:Q,$J435)))</f>
      </c>
    </row>
    <row r="436" spans="1:12" customHeight="1" ht="40">
      <c r="A436" s="13" t="str">
        <f>IF($J436=0,"",IFERROR(_xlfn.IMAGE(INDEX('Прайс и заказ'!$O:$O,$J436)),""))</f>
      </c>
      <c r="B436" s="61" t="str">
        <f>IF($J436=0,"",IF(INDEX('Прайс и заказ'!B:B,$J436)="","",INDEX('Прайс и заказ'!B:B,$J436)))</f>
      </c>
      <c r="C436" s="64" t="str">
        <f>IF($J436=0,"",IF(INDEX('Прайс и заказ'!C:C,$J436)="","",INDEX('Прайс и заказ'!C:C,$J436)))</f>
      </c>
      <c r="D436" s="64" t="str">
        <f>IF($J436=0,"",IF(INDEX('Прайс и заказ'!D:D,$J436)="","",INDEX('Прайс и заказ'!D:D,$J436)))</f>
      </c>
      <c r="E436" s="61" t="str">
        <f>IF($J436=0,"",IF(INDEX('Прайс и заказ'!F:F,$J436)="","",INDEX('Прайс и заказ'!F:F,$J436)))</f>
      </c>
      <c r="F436" s="62" t="str">
        <f>IF($J436=0,"",IF(INDEX('Прайс и заказ'!I:I,$J436)="","",INDEX('Прайс и заказ'!I:I,$J436)))</f>
      </c>
      <c r="G436" s="63" t="str">
        <f>IF($J436=0,"",IF(INDEX('Прайс и заказ'!K:K,$J436)="","",INDEX('Прайс и заказ'!K:K,$J436)))</f>
      </c>
      <c r="H436" s="62" t="str">
        <f>IF($J436=0,"",IF(INDEX('Прайс и заказ'!L:L,$J436)="","",INDEX('Прайс и заказ'!L:L,$J436)))</f>
      </c>
      <c r="I436" s="13" t="str">
        <f>IF($J436=0,"",IF(INDEX('Прайс и заказ'!M:M,$J436)="","",INDEX('Прайс и заказ'!M:M,$J436)))</f>
      </c>
      <c r="J436" t="str">
        <f>IFERROR(MATCH(428,'Прайс и заказ'!$N$7:$N$623,0)+6,0)</f>
      </c>
      <c r="L436" t="str">
        <f>IF($J436=0,"",IF(INDEX('Прайс и заказ'!Q:Q,$J436)="","",INDEX('Прайс и заказ'!Q:Q,$J436)))</f>
      </c>
    </row>
    <row r="437" spans="1:12" customHeight="1" ht="40">
      <c r="A437" s="13" t="str">
        <f>IF($J437=0,"",IFERROR(_xlfn.IMAGE(INDEX('Прайс и заказ'!$O:$O,$J437)),""))</f>
      </c>
      <c r="B437" s="61" t="str">
        <f>IF($J437=0,"",IF(INDEX('Прайс и заказ'!B:B,$J437)="","",INDEX('Прайс и заказ'!B:B,$J437)))</f>
      </c>
      <c r="C437" s="64" t="str">
        <f>IF($J437=0,"",IF(INDEX('Прайс и заказ'!C:C,$J437)="","",INDEX('Прайс и заказ'!C:C,$J437)))</f>
      </c>
      <c r="D437" s="64" t="str">
        <f>IF($J437=0,"",IF(INDEX('Прайс и заказ'!D:D,$J437)="","",INDEX('Прайс и заказ'!D:D,$J437)))</f>
      </c>
      <c r="E437" s="61" t="str">
        <f>IF($J437=0,"",IF(INDEX('Прайс и заказ'!F:F,$J437)="","",INDEX('Прайс и заказ'!F:F,$J437)))</f>
      </c>
      <c r="F437" s="62" t="str">
        <f>IF($J437=0,"",IF(INDEX('Прайс и заказ'!I:I,$J437)="","",INDEX('Прайс и заказ'!I:I,$J437)))</f>
      </c>
      <c r="G437" s="63" t="str">
        <f>IF($J437=0,"",IF(INDEX('Прайс и заказ'!K:K,$J437)="","",INDEX('Прайс и заказ'!K:K,$J437)))</f>
      </c>
      <c r="H437" s="62" t="str">
        <f>IF($J437=0,"",IF(INDEX('Прайс и заказ'!L:L,$J437)="","",INDEX('Прайс и заказ'!L:L,$J437)))</f>
      </c>
      <c r="I437" s="13" t="str">
        <f>IF($J437=0,"",IF(INDEX('Прайс и заказ'!M:M,$J437)="","",INDEX('Прайс и заказ'!M:M,$J437)))</f>
      </c>
      <c r="J437" t="str">
        <f>IFERROR(MATCH(429,'Прайс и заказ'!$N$7:$N$623,0)+6,0)</f>
      </c>
      <c r="L437" t="str">
        <f>IF($J437=0,"",IF(INDEX('Прайс и заказ'!Q:Q,$J437)="","",INDEX('Прайс и заказ'!Q:Q,$J437)))</f>
      </c>
    </row>
    <row r="438" spans="1:12" customHeight="1" ht="40">
      <c r="A438" s="13" t="str">
        <f>IF($J438=0,"",IFERROR(_xlfn.IMAGE(INDEX('Прайс и заказ'!$O:$O,$J438)),""))</f>
      </c>
      <c r="B438" s="61" t="str">
        <f>IF($J438=0,"",IF(INDEX('Прайс и заказ'!B:B,$J438)="","",INDEX('Прайс и заказ'!B:B,$J438)))</f>
      </c>
      <c r="C438" s="64" t="str">
        <f>IF($J438=0,"",IF(INDEX('Прайс и заказ'!C:C,$J438)="","",INDEX('Прайс и заказ'!C:C,$J438)))</f>
      </c>
      <c r="D438" s="64" t="str">
        <f>IF($J438=0,"",IF(INDEX('Прайс и заказ'!D:D,$J438)="","",INDEX('Прайс и заказ'!D:D,$J438)))</f>
      </c>
      <c r="E438" s="61" t="str">
        <f>IF($J438=0,"",IF(INDEX('Прайс и заказ'!F:F,$J438)="","",INDEX('Прайс и заказ'!F:F,$J438)))</f>
      </c>
      <c r="F438" s="62" t="str">
        <f>IF($J438=0,"",IF(INDEX('Прайс и заказ'!I:I,$J438)="","",INDEX('Прайс и заказ'!I:I,$J438)))</f>
      </c>
      <c r="G438" s="63" t="str">
        <f>IF($J438=0,"",IF(INDEX('Прайс и заказ'!K:K,$J438)="","",INDEX('Прайс и заказ'!K:K,$J438)))</f>
      </c>
      <c r="H438" s="62" t="str">
        <f>IF($J438=0,"",IF(INDEX('Прайс и заказ'!L:L,$J438)="","",INDEX('Прайс и заказ'!L:L,$J438)))</f>
      </c>
      <c r="I438" s="13" t="str">
        <f>IF($J438=0,"",IF(INDEX('Прайс и заказ'!M:M,$J438)="","",INDEX('Прайс и заказ'!M:M,$J438)))</f>
      </c>
      <c r="J438" t="str">
        <f>IFERROR(MATCH(430,'Прайс и заказ'!$N$7:$N$623,0)+6,0)</f>
      </c>
      <c r="L438" t="str">
        <f>IF($J438=0,"",IF(INDEX('Прайс и заказ'!Q:Q,$J438)="","",INDEX('Прайс и заказ'!Q:Q,$J438)))</f>
      </c>
    </row>
    <row r="439" spans="1:12" customHeight="1" ht="40">
      <c r="A439" s="13" t="str">
        <f>IF($J439=0,"",IFERROR(_xlfn.IMAGE(INDEX('Прайс и заказ'!$O:$O,$J439)),""))</f>
      </c>
      <c r="B439" s="61" t="str">
        <f>IF($J439=0,"",IF(INDEX('Прайс и заказ'!B:B,$J439)="","",INDEX('Прайс и заказ'!B:B,$J439)))</f>
      </c>
      <c r="C439" s="64" t="str">
        <f>IF($J439=0,"",IF(INDEX('Прайс и заказ'!C:C,$J439)="","",INDEX('Прайс и заказ'!C:C,$J439)))</f>
      </c>
      <c r="D439" s="64" t="str">
        <f>IF($J439=0,"",IF(INDEX('Прайс и заказ'!D:D,$J439)="","",INDEX('Прайс и заказ'!D:D,$J439)))</f>
      </c>
      <c r="E439" s="61" t="str">
        <f>IF($J439=0,"",IF(INDEX('Прайс и заказ'!F:F,$J439)="","",INDEX('Прайс и заказ'!F:F,$J439)))</f>
      </c>
      <c r="F439" s="62" t="str">
        <f>IF($J439=0,"",IF(INDEX('Прайс и заказ'!I:I,$J439)="","",INDEX('Прайс и заказ'!I:I,$J439)))</f>
      </c>
      <c r="G439" s="63" t="str">
        <f>IF($J439=0,"",IF(INDEX('Прайс и заказ'!K:K,$J439)="","",INDEX('Прайс и заказ'!K:K,$J439)))</f>
      </c>
      <c r="H439" s="62" t="str">
        <f>IF($J439=0,"",IF(INDEX('Прайс и заказ'!L:L,$J439)="","",INDEX('Прайс и заказ'!L:L,$J439)))</f>
      </c>
      <c r="I439" s="13" t="str">
        <f>IF($J439=0,"",IF(INDEX('Прайс и заказ'!M:M,$J439)="","",INDEX('Прайс и заказ'!M:M,$J439)))</f>
      </c>
      <c r="J439" t="str">
        <f>IFERROR(MATCH(431,'Прайс и заказ'!$N$7:$N$623,0)+6,0)</f>
      </c>
      <c r="L439" t="str">
        <f>IF($J439=0,"",IF(INDEX('Прайс и заказ'!Q:Q,$J439)="","",INDEX('Прайс и заказ'!Q:Q,$J439)))</f>
      </c>
    </row>
    <row r="440" spans="1:12" customHeight="1" ht="40">
      <c r="A440" s="13" t="str">
        <f>IF($J440=0,"",IFERROR(_xlfn.IMAGE(INDEX('Прайс и заказ'!$O:$O,$J440)),""))</f>
      </c>
      <c r="B440" s="61" t="str">
        <f>IF($J440=0,"",IF(INDEX('Прайс и заказ'!B:B,$J440)="","",INDEX('Прайс и заказ'!B:B,$J440)))</f>
      </c>
      <c r="C440" s="64" t="str">
        <f>IF($J440=0,"",IF(INDEX('Прайс и заказ'!C:C,$J440)="","",INDEX('Прайс и заказ'!C:C,$J440)))</f>
      </c>
      <c r="D440" s="64" t="str">
        <f>IF($J440=0,"",IF(INDEX('Прайс и заказ'!D:D,$J440)="","",INDEX('Прайс и заказ'!D:D,$J440)))</f>
      </c>
      <c r="E440" s="61" t="str">
        <f>IF($J440=0,"",IF(INDEX('Прайс и заказ'!F:F,$J440)="","",INDEX('Прайс и заказ'!F:F,$J440)))</f>
      </c>
      <c r="F440" s="62" t="str">
        <f>IF($J440=0,"",IF(INDEX('Прайс и заказ'!I:I,$J440)="","",INDEX('Прайс и заказ'!I:I,$J440)))</f>
      </c>
      <c r="G440" s="63" t="str">
        <f>IF($J440=0,"",IF(INDEX('Прайс и заказ'!K:K,$J440)="","",INDEX('Прайс и заказ'!K:K,$J440)))</f>
      </c>
      <c r="H440" s="62" t="str">
        <f>IF($J440=0,"",IF(INDEX('Прайс и заказ'!L:L,$J440)="","",INDEX('Прайс и заказ'!L:L,$J440)))</f>
      </c>
      <c r="I440" s="13" t="str">
        <f>IF($J440=0,"",IF(INDEX('Прайс и заказ'!M:M,$J440)="","",INDEX('Прайс и заказ'!M:M,$J440)))</f>
      </c>
      <c r="J440" t="str">
        <f>IFERROR(MATCH(432,'Прайс и заказ'!$N$7:$N$623,0)+6,0)</f>
      </c>
      <c r="L440" t="str">
        <f>IF($J440=0,"",IF(INDEX('Прайс и заказ'!Q:Q,$J440)="","",INDEX('Прайс и заказ'!Q:Q,$J440)))</f>
      </c>
    </row>
    <row r="441" spans="1:12" customHeight="1" ht="40">
      <c r="A441" s="13" t="str">
        <f>IF($J441=0,"",IFERROR(_xlfn.IMAGE(INDEX('Прайс и заказ'!$O:$O,$J441)),""))</f>
      </c>
      <c r="B441" s="61" t="str">
        <f>IF($J441=0,"",IF(INDEX('Прайс и заказ'!B:B,$J441)="","",INDEX('Прайс и заказ'!B:B,$J441)))</f>
      </c>
      <c r="C441" s="64" t="str">
        <f>IF($J441=0,"",IF(INDEX('Прайс и заказ'!C:C,$J441)="","",INDEX('Прайс и заказ'!C:C,$J441)))</f>
      </c>
      <c r="D441" s="64" t="str">
        <f>IF($J441=0,"",IF(INDEX('Прайс и заказ'!D:D,$J441)="","",INDEX('Прайс и заказ'!D:D,$J441)))</f>
      </c>
      <c r="E441" s="61" t="str">
        <f>IF($J441=0,"",IF(INDEX('Прайс и заказ'!F:F,$J441)="","",INDEX('Прайс и заказ'!F:F,$J441)))</f>
      </c>
      <c r="F441" s="62" t="str">
        <f>IF($J441=0,"",IF(INDEX('Прайс и заказ'!I:I,$J441)="","",INDEX('Прайс и заказ'!I:I,$J441)))</f>
      </c>
      <c r="G441" s="63" t="str">
        <f>IF($J441=0,"",IF(INDEX('Прайс и заказ'!K:K,$J441)="","",INDEX('Прайс и заказ'!K:K,$J441)))</f>
      </c>
      <c r="H441" s="62" t="str">
        <f>IF($J441=0,"",IF(INDEX('Прайс и заказ'!L:L,$J441)="","",INDEX('Прайс и заказ'!L:L,$J441)))</f>
      </c>
      <c r="I441" s="13" t="str">
        <f>IF($J441=0,"",IF(INDEX('Прайс и заказ'!M:M,$J441)="","",INDEX('Прайс и заказ'!M:M,$J441)))</f>
      </c>
      <c r="J441" t="str">
        <f>IFERROR(MATCH(433,'Прайс и заказ'!$N$7:$N$623,0)+6,0)</f>
      </c>
      <c r="L441" t="str">
        <f>IF($J441=0,"",IF(INDEX('Прайс и заказ'!Q:Q,$J441)="","",INDEX('Прайс и заказ'!Q:Q,$J441)))</f>
      </c>
    </row>
    <row r="442" spans="1:12" customHeight="1" ht="40">
      <c r="A442" s="13" t="str">
        <f>IF($J442=0,"",IFERROR(_xlfn.IMAGE(INDEX('Прайс и заказ'!$O:$O,$J442)),""))</f>
      </c>
      <c r="B442" s="61" t="str">
        <f>IF($J442=0,"",IF(INDEX('Прайс и заказ'!B:B,$J442)="","",INDEX('Прайс и заказ'!B:B,$J442)))</f>
      </c>
      <c r="C442" s="64" t="str">
        <f>IF($J442=0,"",IF(INDEX('Прайс и заказ'!C:C,$J442)="","",INDEX('Прайс и заказ'!C:C,$J442)))</f>
      </c>
      <c r="D442" s="64" t="str">
        <f>IF($J442=0,"",IF(INDEX('Прайс и заказ'!D:D,$J442)="","",INDEX('Прайс и заказ'!D:D,$J442)))</f>
      </c>
      <c r="E442" s="61" t="str">
        <f>IF($J442=0,"",IF(INDEX('Прайс и заказ'!F:F,$J442)="","",INDEX('Прайс и заказ'!F:F,$J442)))</f>
      </c>
      <c r="F442" s="62" t="str">
        <f>IF($J442=0,"",IF(INDEX('Прайс и заказ'!I:I,$J442)="","",INDEX('Прайс и заказ'!I:I,$J442)))</f>
      </c>
      <c r="G442" s="63" t="str">
        <f>IF($J442=0,"",IF(INDEX('Прайс и заказ'!K:K,$J442)="","",INDEX('Прайс и заказ'!K:K,$J442)))</f>
      </c>
      <c r="H442" s="62" t="str">
        <f>IF($J442=0,"",IF(INDEX('Прайс и заказ'!L:L,$J442)="","",INDEX('Прайс и заказ'!L:L,$J442)))</f>
      </c>
      <c r="I442" s="13" t="str">
        <f>IF($J442=0,"",IF(INDEX('Прайс и заказ'!M:M,$J442)="","",INDEX('Прайс и заказ'!M:M,$J442)))</f>
      </c>
      <c r="J442" t="str">
        <f>IFERROR(MATCH(434,'Прайс и заказ'!$N$7:$N$623,0)+6,0)</f>
      </c>
      <c r="L442" t="str">
        <f>IF($J442=0,"",IF(INDEX('Прайс и заказ'!Q:Q,$J442)="","",INDEX('Прайс и заказ'!Q:Q,$J442)))</f>
      </c>
    </row>
    <row r="443" spans="1:12" customHeight="1" ht="40">
      <c r="A443" s="13" t="str">
        <f>IF($J443=0,"",IFERROR(_xlfn.IMAGE(INDEX('Прайс и заказ'!$O:$O,$J443)),""))</f>
      </c>
      <c r="B443" s="61" t="str">
        <f>IF($J443=0,"",IF(INDEX('Прайс и заказ'!B:B,$J443)="","",INDEX('Прайс и заказ'!B:B,$J443)))</f>
      </c>
      <c r="C443" s="64" t="str">
        <f>IF($J443=0,"",IF(INDEX('Прайс и заказ'!C:C,$J443)="","",INDEX('Прайс и заказ'!C:C,$J443)))</f>
      </c>
      <c r="D443" s="64" t="str">
        <f>IF($J443=0,"",IF(INDEX('Прайс и заказ'!D:D,$J443)="","",INDEX('Прайс и заказ'!D:D,$J443)))</f>
      </c>
      <c r="E443" s="61" t="str">
        <f>IF($J443=0,"",IF(INDEX('Прайс и заказ'!F:F,$J443)="","",INDEX('Прайс и заказ'!F:F,$J443)))</f>
      </c>
      <c r="F443" s="62" t="str">
        <f>IF($J443=0,"",IF(INDEX('Прайс и заказ'!I:I,$J443)="","",INDEX('Прайс и заказ'!I:I,$J443)))</f>
      </c>
      <c r="G443" s="63" t="str">
        <f>IF($J443=0,"",IF(INDEX('Прайс и заказ'!K:K,$J443)="","",INDEX('Прайс и заказ'!K:K,$J443)))</f>
      </c>
      <c r="H443" s="62" t="str">
        <f>IF($J443=0,"",IF(INDEX('Прайс и заказ'!L:L,$J443)="","",INDEX('Прайс и заказ'!L:L,$J443)))</f>
      </c>
      <c r="I443" s="13" t="str">
        <f>IF($J443=0,"",IF(INDEX('Прайс и заказ'!M:M,$J443)="","",INDEX('Прайс и заказ'!M:M,$J443)))</f>
      </c>
      <c r="J443" t="str">
        <f>IFERROR(MATCH(435,'Прайс и заказ'!$N$7:$N$623,0)+6,0)</f>
      </c>
      <c r="L443" t="str">
        <f>IF($J443=0,"",IF(INDEX('Прайс и заказ'!Q:Q,$J443)="","",INDEX('Прайс и заказ'!Q:Q,$J443)))</f>
      </c>
    </row>
    <row r="444" spans="1:12" customHeight="1" ht="40">
      <c r="A444" s="13" t="str">
        <f>IF($J444=0,"",IFERROR(_xlfn.IMAGE(INDEX('Прайс и заказ'!$O:$O,$J444)),""))</f>
      </c>
      <c r="B444" s="61" t="str">
        <f>IF($J444=0,"",IF(INDEX('Прайс и заказ'!B:B,$J444)="","",INDEX('Прайс и заказ'!B:B,$J444)))</f>
      </c>
      <c r="C444" s="64" t="str">
        <f>IF($J444=0,"",IF(INDEX('Прайс и заказ'!C:C,$J444)="","",INDEX('Прайс и заказ'!C:C,$J444)))</f>
      </c>
      <c r="D444" s="64" t="str">
        <f>IF($J444=0,"",IF(INDEX('Прайс и заказ'!D:D,$J444)="","",INDEX('Прайс и заказ'!D:D,$J444)))</f>
      </c>
      <c r="E444" s="61" t="str">
        <f>IF($J444=0,"",IF(INDEX('Прайс и заказ'!F:F,$J444)="","",INDEX('Прайс и заказ'!F:F,$J444)))</f>
      </c>
      <c r="F444" s="62" t="str">
        <f>IF($J444=0,"",IF(INDEX('Прайс и заказ'!I:I,$J444)="","",INDEX('Прайс и заказ'!I:I,$J444)))</f>
      </c>
      <c r="G444" s="63" t="str">
        <f>IF($J444=0,"",IF(INDEX('Прайс и заказ'!K:K,$J444)="","",INDEX('Прайс и заказ'!K:K,$J444)))</f>
      </c>
      <c r="H444" s="62" t="str">
        <f>IF($J444=0,"",IF(INDEX('Прайс и заказ'!L:L,$J444)="","",INDEX('Прайс и заказ'!L:L,$J444)))</f>
      </c>
      <c r="I444" s="13" t="str">
        <f>IF($J444=0,"",IF(INDEX('Прайс и заказ'!M:M,$J444)="","",INDEX('Прайс и заказ'!M:M,$J444)))</f>
      </c>
      <c r="J444" t="str">
        <f>IFERROR(MATCH(436,'Прайс и заказ'!$N$7:$N$623,0)+6,0)</f>
      </c>
      <c r="L444" t="str">
        <f>IF($J444=0,"",IF(INDEX('Прайс и заказ'!Q:Q,$J444)="","",INDEX('Прайс и заказ'!Q:Q,$J444)))</f>
      </c>
    </row>
    <row r="445" spans="1:12" customHeight="1" ht="40">
      <c r="A445" s="13" t="str">
        <f>IF($J445=0,"",IFERROR(_xlfn.IMAGE(INDEX('Прайс и заказ'!$O:$O,$J445)),""))</f>
      </c>
      <c r="B445" s="61" t="str">
        <f>IF($J445=0,"",IF(INDEX('Прайс и заказ'!B:B,$J445)="","",INDEX('Прайс и заказ'!B:B,$J445)))</f>
      </c>
      <c r="C445" s="64" t="str">
        <f>IF($J445=0,"",IF(INDEX('Прайс и заказ'!C:C,$J445)="","",INDEX('Прайс и заказ'!C:C,$J445)))</f>
      </c>
      <c r="D445" s="64" t="str">
        <f>IF($J445=0,"",IF(INDEX('Прайс и заказ'!D:D,$J445)="","",INDEX('Прайс и заказ'!D:D,$J445)))</f>
      </c>
      <c r="E445" s="61" t="str">
        <f>IF($J445=0,"",IF(INDEX('Прайс и заказ'!F:F,$J445)="","",INDEX('Прайс и заказ'!F:F,$J445)))</f>
      </c>
      <c r="F445" s="62" t="str">
        <f>IF($J445=0,"",IF(INDEX('Прайс и заказ'!I:I,$J445)="","",INDEX('Прайс и заказ'!I:I,$J445)))</f>
      </c>
      <c r="G445" s="63" t="str">
        <f>IF($J445=0,"",IF(INDEX('Прайс и заказ'!K:K,$J445)="","",INDEX('Прайс и заказ'!K:K,$J445)))</f>
      </c>
      <c r="H445" s="62" t="str">
        <f>IF($J445=0,"",IF(INDEX('Прайс и заказ'!L:L,$J445)="","",INDEX('Прайс и заказ'!L:L,$J445)))</f>
      </c>
      <c r="I445" s="13" t="str">
        <f>IF($J445=0,"",IF(INDEX('Прайс и заказ'!M:M,$J445)="","",INDEX('Прайс и заказ'!M:M,$J445)))</f>
      </c>
      <c r="J445" t="str">
        <f>IFERROR(MATCH(437,'Прайс и заказ'!$N$7:$N$623,0)+6,0)</f>
      </c>
      <c r="L445" t="str">
        <f>IF($J445=0,"",IF(INDEX('Прайс и заказ'!Q:Q,$J445)="","",INDEX('Прайс и заказ'!Q:Q,$J445)))</f>
      </c>
    </row>
    <row r="446" spans="1:12" customHeight="1" ht="40">
      <c r="A446" s="13" t="str">
        <f>IF($J446=0,"",IFERROR(_xlfn.IMAGE(INDEX('Прайс и заказ'!$O:$O,$J446)),""))</f>
      </c>
      <c r="B446" s="61" t="str">
        <f>IF($J446=0,"",IF(INDEX('Прайс и заказ'!B:B,$J446)="","",INDEX('Прайс и заказ'!B:B,$J446)))</f>
      </c>
      <c r="C446" s="64" t="str">
        <f>IF($J446=0,"",IF(INDEX('Прайс и заказ'!C:C,$J446)="","",INDEX('Прайс и заказ'!C:C,$J446)))</f>
      </c>
      <c r="D446" s="64" t="str">
        <f>IF($J446=0,"",IF(INDEX('Прайс и заказ'!D:D,$J446)="","",INDEX('Прайс и заказ'!D:D,$J446)))</f>
      </c>
      <c r="E446" s="61" t="str">
        <f>IF($J446=0,"",IF(INDEX('Прайс и заказ'!F:F,$J446)="","",INDEX('Прайс и заказ'!F:F,$J446)))</f>
      </c>
      <c r="F446" s="62" t="str">
        <f>IF($J446=0,"",IF(INDEX('Прайс и заказ'!I:I,$J446)="","",INDEX('Прайс и заказ'!I:I,$J446)))</f>
      </c>
      <c r="G446" s="63" t="str">
        <f>IF($J446=0,"",IF(INDEX('Прайс и заказ'!K:K,$J446)="","",INDEX('Прайс и заказ'!K:K,$J446)))</f>
      </c>
      <c r="H446" s="62" t="str">
        <f>IF($J446=0,"",IF(INDEX('Прайс и заказ'!L:L,$J446)="","",INDEX('Прайс и заказ'!L:L,$J446)))</f>
      </c>
      <c r="I446" s="13" t="str">
        <f>IF($J446=0,"",IF(INDEX('Прайс и заказ'!M:M,$J446)="","",INDEX('Прайс и заказ'!M:M,$J446)))</f>
      </c>
      <c r="J446" t="str">
        <f>IFERROR(MATCH(438,'Прайс и заказ'!$N$7:$N$623,0)+6,0)</f>
      </c>
      <c r="L446" t="str">
        <f>IF($J446=0,"",IF(INDEX('Прайс и заказ'!Q:Q,$J446)="","",INDEX('Прайс и заказ'!Q:Q,$J446)))</f>
      </c>
    </row>
    <row r="447" spans="1:12" customHeight="1" ht="40">
      <c r="A447" s="13" t="str">
        <f>IF($J447=0,"",IFERROR(_xlfn.IMAGE(INDEX('Прайс и заказ'!$O:$O,$J447)),""))</f>
      </c>
      <c r="B447" s="61" t="str">
        <f>IF($J447=0,"",IF(INDEX('Прайс и заказ'!B:B,$J447)="","",INDEX('Прайс и заказ'!B:B,$J447)))</f>
      </c>
      <c r="C447" s="64" t="str">
        <f>IF($J447=0,"",IF(INDEX('Прайс и заказ'!C:C,$J447)="","",INDEX('Прайс и заказ'!C:C,$J447)))</f>
      </c>
      <c r="D447" s="64" t="str">
        <f>IF($J447=0,"",IF(INDEX('Прайс и заказ'!D:D,$J447)="","",INDEX('Прайс и заказ'!D:D,$J447)))</f>
      </c>
      <c r="E447" s="61" t="str">
        <f>IF($J447=0,"",IF(INDEX('Прайс и заказ'!F:F,$J447)="","",INDEX('Прайс и заказ'!F:F,$J447)))</f>
      </c>
      <c r="F447" s="62" t="str">
        <f>IF($J447=0,"",IF(INDEX('Прайс и заказ'!I:I,$J447)="","",INDEX('Прайс и заказ'!I:I,$J447)))</f>
      </c>
      <c r="G447" s="63" t="str">
        <f>IF($J447=0,"",IF(INDEX('Прайс и заказ'!K:K,$J447)="","",INDEX('Прайс и заказ'!K:K,$J447)))</f>
      </c>
      <c r="H447" s="62" t="str">
        <f>IF($J447=0,"",IF(INDEX('Прайс и заказ'!L:L,$J447)="","",INDEX('Прайс и заказ'!L:L,$J447)))</f>
      </c>
      <c r="I447" s="13" t="str">
        <f>IF($J447=0,"",IF(INDEX('Прайс и заказ'!M:M,$J447)="","",INDEX('Прайс и заказ'!M:M,$J447)))</f>
      </c>
      <c r="J447" t="str">
        <f>IFERROR(MATCH(439,'Прайс и заказ'!$N$7:$N$623,0)+6,0)</f>
      </c>
      <c r="L447" t="str">
        <f>IF($J447=0,"",IF(INDEX('Прайс и заказ'!Q:Q,$J447)="","",INDEX('Прайс и заказ'!Q:Q,$J447)))</f>
      </c>
    </row>
    <row r="448" spans="1:12" customHeight="1" ht="40">
      <c r="A448" s="13" t="str">
        <f>IF($J448=0,"",IFERROR(_xlfn.IMAGE(INDEX('Прайс и заказ'!$O:$O,$J448)),""))</f>
      </c>
      <c r="B448" s="61" t="str">
        <f>IF($J448=0,"",IF(INDEX('Прайс и заказ'!B:B,$J448)="","",INDEX('Прайс и заказ'!B:B,$J448)))</f>
      </c>
      <c r="C448" s="64" t="str">
        <f>IF($J448=0,"",IF(INDEX('Прайс и заказ'!C:C,$J448)="","",INDEX('Прайс и заказ'!C:C,$J448)))</f>
      </c>
      <c r="D448" s="64" t="str">
        <f>IF($J448=0,"",IF(INDEX('Прайс и заказ'!D:D,$J448)="","",INDEX('Прайс и заказ'!D:D,$J448)))</f>
      </c>
      <c r="E448" s="61" t="str">
        <f>IF($J448=0,"",IF(INDEX('Прайс и заказ'!F:F,$J448)="","",INDEX('Прайс и заказ'!F:F,$J448)))</f>
      </c>
      <c r="F448" s="62" t="str">
        <f>IF($J448=0,"",IF(INDEX('Прайс и заказ'!I:I,$J448)="","",INDEX('Прайс и заказ'!I:I,$J448)))</f>
      </c>
      <c r="G448" s="63" t="str">
        <f>IF($J448=0,"",IF(INDEX('Прайс и заказ'!K:K,$J448)="","",INDEX('Прайс и заказ'!K:K,$J448)))</f>
      </c>
      <c r="H448" s="62" t="str">
        <f>IF($J448=0,"",IF(INDEX('Прайс и заказ'!L:L,$J448)="","",INDEX('Прайс и заказ'!L:L,$J448)))</f>
      </c>
      <c r="I448" s="13" t="str">
        <f>IF($J448=0,"",IF(INDEX('Прайс и заказ'!M:M,$J448)="","",INDEX('Прайс и заказ'!M:M,$J448)))</f>
      </c>
      <c r="J448" t="str">
        <f>IFERROR(MATCH(440,'Прайс и заказ'!$N$7:$N$623,0)+6,0)</f>
      </c>
      <c r="L448" t="str">
        <f>IF($J448=0,"",IF(INDEX('Прайс и заказ'!Q:Q,$J448)="","",INDEX('Прайс и заказ'!Q:Q,$J448)))</f>
      </c>
    </row>
    <row r="449" spans="1:12" customHeight="1" ht="40">
      <c r="A449" s="13" t="str">
        <f>IF($J449=0,"",IFERROR(_xlfn.IMAGE(INDEX('Прайс и заказ'!$O:$O,$J449)),""))</f>
      </c>
      <c r="B449" s="61" t="str">
        <f>IF($J449=0,"",IF(INDEX('Прайс и заказ'!B:B,$J449)="","",INDEX('Прайс и заказ'!B:B,$J449)))</f>
      </c>
      <c r="C449" s="64" t="str">
        <f>IF($J449=0,"",IF(INDEX('Прайс и заказ'!C:C,$J449)="","",INDEX('Прайс и заказ'!C:C,$J449)))</f>
      </c>
      <c r="D449" s="64" t="str">
        <f>IF($J449=0,"",IF(INDEX('Прайс и заказ'!D:D,$J449)="","",INDEX('Прайс и заказ'!D:D,$J449)))</f>
      </c>
      <c r="E449" s="61" t="str">
        <f>IF($J449=0,"",IF(INDEX('Прайс и заказ'!F:F,$J449)="","",INDEX('Прайс и заказ'!F:F,$J449)))</f>
      </c>
      <c r="F449" s="62" t="str">
        <f>IF($J449=0,"",IF(INDEX('Прайс и заказ'!I:I,$J449)="","",INDEX('Прайс и заказ'!I:I,$J449)))</f>
      </c>
      <c r="G449" s="63" t="str">
        <f>IF($J449=0,"",IF(INDEX('Прайс и заказ'!K:K,$J449)="","",INDEX('Прайс и заказ'!K:K,$J449)))</f>
      </c>
      <c r="H449" s="62" t="str">
        <f>IF($J449=0,"",IF(INDEX('Прайс и заказ'!L:L,$J449)="","",INDEX('Прайс и заказ'!L:L,$J449)))</f>
      </c>
      <c r="I449" s="13" t="str">
        <f>IF($J449=0,"",IF(INDEX('Прайс и заказ'!M:M,$J449)="","",INDEX('Прайс и заказ'!M:M,$J449)))</f>
      </c>
      <c r="J449" t="str">
        <f>IFERROR(MATCH(441,'Прайс и заказ'!$N$7:$N$623,0)+6,0)</f>
      </c>
      <c r="L449" t="str">
        <f>IF($J449=0,"",IF(INDEX('Прайс и заказ'!Q:Q,$J449)="","",INDEX('Прайс и заказ'!Q:Q,$J449)))</f>
      </c>
    </row>
    <row r="450" spans="1:12" customHeight="1" ht="40">
      <c r="A450" s="13" t="str">
        <f>IF($J450=0,"",IFERROR(_xlfn.IMAGE(INDEX('Прайс и заказ'!$O:$O,$J450)),""))</f>
      </c>
      <c r="B450" s="61" t="str">
        <f>IF($J450=0,"",IF(INDEX('Прайс и заказ'!B:B,$J450)="","",INDEX('Прайс и заказ'!B:B,$J450)))</f>
      </c>
      <c r="C450" s="64" t="str">
        <f>IF($J450=0,"",IF(INDEX('Прайс и заказ'!C:C,$J450)="","",INDEX('Прайс и заказ'!C:C,$J450)))</f>
      </c>
      <c r="D450" s="64" t="str">
        <f>IF($J450=0,"",IF(INDEX('Прайс и заказ'!D:D,$J450)="","",INDEX('Прайс и заказ'!D:D,$J450)))</f>
      </c>
      <c r="E450" s="61" t="str">
        <f>IF($J450=0,"",IF(INDEX('Прайс и заказ'!F:F,$J450)="","",INDEX('Прайс и заказ'!F:F,$J450)))</f>
      </c>
      <c r="F450" s="62" t="str">
        <f>IF($J450=0,"",IF(INDEX('Прайс и заказ'!I:I,$J450)="","",INDEX('Прайс и заказ'!I:I,$J450)))</f>
      </c>
      <c r="G450" s="63" t="str">
        <f>IF($J450=0,"",IF(INDEX('Прайс и заказ'!K:K,$J450)="","",INDEX('Прайс и заказ'!K:K,$J450)))</f>
      </c>
      <c r="H450" s="62" t="str">
        <f>IF($J450=0,"",IF(INDEX('Прайс и заказ'!L:L,$J450)="","",INDEX('Прайс и заказ'!L:L,$J450)))</f>
      </c>
      <c r="I450" s="13" t="str">
        <f>IF($J450=0,"",IF(INDEX('Прайс и заказ'!M:M,$J450)="","",INDEX('Прайс и заказ'!M:M,$J450)))</f>
      </c>
      <c r="J450" t="str">
        <f>IFERROR(MATCH(442,'Прайс и заказ'!$N$7:$N$623,0)+6,0)</f>
      </c>
      <c r="L450" t="str">
        <f>IF($J450=0,"",IF(INDEX('Прайс и заказ'!Q:Q,$J450)="","",INDEX('Прайс и заказ'!Q:Q,$J450)))</f>
      </c>
    </row>
    <row r="451" spans="1:12" customHeight="1" ht="40">
      <c r="A451" s="13" t="str">
        <f>IF($J451=0,"",IFERROR(_xlfn.IMAGE(INDEX('Прайс и заказ'!$O:$O,$J451)),""))</f>
      </c>
      <c r="B451" s="61" t="str">
        <f>IF($J451=0,"",IF(INDEX('Прайс и заказ'!B:B,$J451)="","",INDEX('Прайс и заказ'!B:B,$J451)))</f>
      </c>
      <c r="C451" s="64" t="str">
        <f>IF($J451=0,"",IF(INDEX('Прайс и заказ'!C:C,$J451)="","",INDEX('Прайс и заказ'!C:C,$J451)))</f>
      </c>
      <c r="D451" s="64" t="str">
        <f>IF($J451=0,"",IF(INDEX('Прайс и заказ'!D:D,$J451)="","",INDEX('Прайс и заказ'!D:D,$J451)))</f>
      </c>
      <c r="E451" s="61" t="str">
        <f>IF($J451=0,"",IF(INDEX('Прайс и заказ'!F:F,$J451)="","",INDEX('Прайс и заказ'!F:F,$J451)))</f>
      </c>
      <c r="F451" s="62" t="str">
        <f>IF($J451=0,"",IF(INDEX('Прайс и заказ'!I:I,$J451)="","",INDEX('Прайс и заказ'!I:I,$J451)))</f>
      </c>
      <c r="G451" s="63" t="str">
        <f>IF($J451=0,"",IF(INDEX('Прайс и заказ'!K:K,$J451)="","",INDEX('Прайс и заказ'!K:K,$J451)))</f>
      </c>
      <c r="H451" s="62" t="str">
        <f>IF($J451=0,"",IF(INDEX('Прайс и заказ'!L:L,$J451)="","",INDEX('Прайс и заказ'!L:L,$J451)))</f>
      </c>
      <c r="I451" s="13" t="str">
        <f>IF($J451=0,"",IF(INDEX('Прайс и заказ'!M:M,$J451)="","",INDEX('Прайс и заказ'!M:M,$J451)))</f>
      </c>
      <c r="J451" t="str">
        <f>IFERROR(MATCH(443,'Прайс и заказ'!$N$7:$N$623,0)+6,0)</f>
      </c>
      <c r="L451" t="str">
        <f>IF($J451=0,"",IF(INDEX('Прайс и заказ'!Q:Q,$J451)="","",INDEX('Прайс и заказ'!Q:Q,$J451)))</f>
      </c>
    </row>
    <row r="452" spans="1:12" customHeight="1" ht="40">
      <c r="A452" s="13" t="str">
        <f>IF($J452=0,"",IFERROR(_xlfn.IMAGE(INDEX('Прайс и заказ'!$O:$O,$J452)),""))</f>
      </c>
      <c r="B452" s="61" t="str">
        <f>IF($J452=0,"",IF(INDEX('Прайс и заказ'!B:B,$J452)="","",INDEX('Прайс и заказ'!B:B,$J452)))</f>
      </c>
      <c r="C452" s="64" t="str">
        <f>IF($J452=0,"",IF(INDEX('Прайс и заказ'!C:C,$J452)="","",INDEX('Прайс и заказ'!C:C,$J452)))</f>
      </c>
      <c r="D452" s="64" t="str">
        <f>IF($J452=0,"",IF(INDEX('Прайс и заказ'!D:D,$J452)="","",INDEX('Прайс и заказ'!D:D,$J452)))</f>
      </c>
      <c r="E452" s="61" t="str">
        <f>IF($J452=0,"",IF(INDEX('Прайс и заказ'!F:F,$J452)="","",INDEX('Прайс и заказ'!F:F,$J452)))</f>
      </c>
      <c r="F452" s="62" t="str">
        <f>IF($J452=0,"",IF(INDEX('Прайс и заказ'!I:I,$J452)="","",INDEX('Прайс и заказ'!I:I,$J452)))</f>
      </c>
      <c r="G452" s="63" t="str">
        <f>IF($J452=0,"",IF(INDEX('Прайс и заказ'!K:K,$J452)="","",INDEX('Прайс и заказ'!K:K,$J452)))</f>
      </c>
      <c r="H452" s="62" t="str">
        <f>IF($J452=0,"",IF(INDEX('Прайс и заказ'!L:L,$J452)="","",INDEX('Прайс и заказ'!L:L,$J452)))</f>
      </c>
      <c r="I452" s="13" t="str">
        <f>IF($J452=0,"",IF(INDEX('Прайс и заказ'!M:M,$J452)="","",INDEX('Прайс и заказ'!M:M,$J452)))</f>
      </c>
      <c r="J452" t="str">
        <f>IFERROR(MATCH(444,'Прайс и заказ'!$N$7:$N$623,0)+6,0)</f>
      </c>
      <c r="L452" t="str">
        <f>IF($J452=0,"",IF(INDEX('Прайс и заказ'!Q:Q,$J452)="","",INDEX('Прайс и заказ'!Q:Q,$J452)))</f>
      </c>
    </row>
    <row r="453" spans="1:12" customHeight="1" ht="40">
      <c r="A453" s="13" t="str">
        <f>IF($J453=0,"",IFERROR(_xlfn.IMAGE(INDEX('Прайс и заказ'!$O:$O,$J453)),""))</f>
      </c>
      <c r="B453" s="61" t="str">
        <f>IF($J453=0,"",IF(INDEX('Прайс и заказ'!B:B,$J453)="","",INDEX('Прайс и заказ'!B:B,$J453)))</f>
      </c>
      <c r="C453" s="64" t="str">
        <f>IF($J453=0,"",IF(INDEX('Прайс и заказ'!C:C,$J453)="","",INDEX('Прайс и заказ'!C:C,$J453)))</f>
      </c>
      <c r="D453" s="64" t="str">
        <f>IF($J453=0,"",IF(INDEX('Прайс и заказ'!D:D,$J453)="","",INDEX('Прайс и заказ'!D:D,$J453)))</f>
      </c>
      <c r="E453" s="61" t="str">
        <f>IF($J453=0,"",IF(INDEX('Прайс и заказ'!F:F,$J453)="","",INDEX('Прайс и заказ'!F:F,$J453)))</f>
      </c>
      <c r="F453" s="62" t="str">
        <f>IF($J453=0,"",IF(INDEX('Прайс и заказ'!I:I,$J453)="","",INDEX('Прайс и заказ'!I:I,$J453)))</f>
      </c>
      <c r="G453" s="63" t="str">
        <f>IF($J453=0,"",IF(INDEX('Прайс и заказ'!K:K,$J453)="","",INDEX('Прайс и заказ'!K:K,$J453)))</f>
      </c>
      <c r="H453" s="62" t="str">
        <f>IF($J453=0,"",IF(INDEX('Прайс и заказ'!L:L,$J453)="","",INDEX('Прайс и заказ'!L:L,$J453)))</f>
      </c>
      <c r="I453" s="13" t="str">
        <f>IF($J453=0,"",IF(INDEX('Прайс и заказ'!M:M,$J453)="","",INDEX('Прайс и заказ'!M:M,$J453)))</f>
      </c>
      <c r="J453" t="str">
        <f>IFERROR(MATCH(445,'Прайс и заказ'!$N$7:$N$623,0)+6,0)</f>
      </c>
      <c r="L453" t="str">
        <f>IF($J453=0,"",IF(INDEX('Прайс и заказ'!Q:Q,$J453)="","",INDEX('Прайс и заказ'!Q:Q,$J453)))</f>
      </c>
    </row>
    <row r="454" spans="1:12" customHeight="1" ht="40">
      <c r="A454" s="13" t="str">
        <f>IF($J454=0,"",IFERROR(_xlfn.IMAGE(INDEX('Прайс и заказ'!$O:$O,$J454)),""))</f>
      </c>
      <c r="B454" s="61" t="str">
        <f>IF($J454=0,"",IF(INDEX('Прайс и заказ'!B:B,$J454)="","",INDEX('Прайс и заказ'!B:B,$J454)))</f>
      </c>
      <c r="C454" s="64" t="str">
        <f>IF($J454=0,"",IF(INDEX('Прайс и заказ'!C:C,$J454)="","",INDEX('Прайс и заказ'!C:C,$J454)))</f>
      </c>
      <c r="D454" s="64" t="str">
        <f>IF($J454=0,"",IF(INDEX('Прайс и заказ'!D:D,$J454)="","",INDEX('Прайс и заказ'!D:D,$J454)))</f>
      </c>
      <c r="E454" s="61" t="str">
        <f>IF($J454=0,"",IF(INDEX('Прайс и заказ'!F:F,$J454)="","",INDEX('Прайс и заказ'!F:F,$J454)))</f>
      </c>
      <c r="F454" s="62" t="str">
        <f>IF($J454=0,"",IF(INDEX('Прайс и заказ'!I:I,$J454)="","",INDEX('Прайс и заказ'!I:I,$J454)))</f>
      </c>
      <c r="G454" s="63" t="str">
        <f>IF($J454=0,"",IF(INDEX('Прайс и заказ'!K:K,$J454)="","",INDEX('Прайс и заказ'!K:K,$J454)))</f>
      </c>
      <c r="H454" s="62" t="str">
        <f>IF($J454=0,"",IF(INDEX('Прайс и заказ'!L:L,$J454)="","",INDEX('Прайс и заказ'!L:L,$J454)))</f>
      </c>
      <c r="I454" s="13" t="str">
        <f>IF($J454=0,"",IF(INDEX('Прайс и заказ'!M:M,$J454)="","",INDEX('Прайс и заказ'!M:M,$J454)))</f>
      </c>
      <c r="J454" t="str">
        <f>IFERROR(MATCH(446,'Прайс и заказ'!$N$7:$N$623,0)+6,0)</f>
      </c>
      <c r="L454" t="str">
        <f>IF($J454=0,"",IF(INDEX('Прайс и заказ'!Q:Q,$J454)="","",INDEX('Прайс и заказ'!Q:Q,$J454)))</f>
      </c>
    </row>
    <row r="455" spans="1:12" customHeight="1" ht="40">
      <c r="A455" s="13" t="str">
        <f>IF($J455=0,"",IFERROR(_xlfn.IMAGE(INDEX('Прайс и заказ'!$O:$O,$J455)),""))</f>
      </c>
      <c r="B455" s="61" t="str">
        <f>IF($J455=0,"",IF(INDEX('Прайс и заказ'!B:B,$J455)="","",INDEX('Прайс и заказ'!B:B,$J455)))</f>
      </c>
      <c r="C455" s="64" t="str">
        <f>IF($J455=0,"",IF(INDEX('Прайс и заказ'!C:C,$J455)="","",INDEX('Прайс и заказ'!C:C,$J455)))</f>
      </c>
      <c r="D455" s="64" t="str">
        <f>IF($J455=0,"",IF(INDEX('Прайс и заказ'!D:D,$J455)="","",INDEX('Прайс и заказ'!D:D,$J455)))</f>
      </c>
      <c r="E455" s="61" t="str">
        <f>IF($J455=0,"",IF(INDEX('Прайс и заказ'!F:F,$J455)="","",INDEX('Прайс и заказ'!F:F,$J455)))</f>
      </c>
      <c r="F455" s="62" t="str">
        <f>IF($J455=0,"",IF(INDEX('Прайс и заказ'!I:I,$J455)="","",INDEX('Прайс и заказ'!I:I,$J455)))</f>
      </c>
      <c r="G455" s="63" t="str">
        <f>IF($J455=0,"",IF(INDEX('Прайс и заказ'!K:K,$J455)="","",INDEX('Прайс и заказ'!K:K,$J455)))</f>
      </c>
      <c r="H455" s="62" t="str">
        <f>IF($J455=0,"",IF(INDEX('Прайс и заказ'!L:L,$J455)="","",INDEX('Прайс и заказ'!L:L,$J455)))</f>
      </c>
      <c r="I455" s="13" t="str">
        <f>IF($J455=0,"",IF(INDEX('Прайс и заказ'!M:M,$J455)="","",INDEX('Прайс и заказ'!M:M,$J455)))</f>
      </c>
      <c r="J455" t="str">
        <f>IFERROR(MATCH(447,'Прайс и заказ'!$N$7:$N$623,0)+6,0)</f>
      </c>
      <c r="L455" t="str">
        <f>IF($J455=0,"",IF(INDEX('Прайс и заказ'!Q:Q,$J455)="","",INDEX('Прайс и заказ'!Q:Q,$J455)))</f>
      </c>
    </row>
    <row r="456" spans="1:12" customHeight="1" ht="40">
      <c r="A456" s="13" t="str">
        <f>IF($J456=0,"",IFERROR(_xlfn.IMAGE(INDEX('Прайс и заказ'!$O:$O,$J456)),""))</f>
      </c>
      <c r="B456" s="61" t="str">
        <f>IF($J456=0,"",IF(INDEX('Прайс и заказ'!B:B,$J456)="","",INDEX('Прайс и заказ'!B:B,$J456)))</f>
      </c>
      <c r="C456" s="64" t="str">
        <f>IF($J456=0,"",IF(INDEX('Прайс и заказ'!C:C,$J456)="","",INDEX('Прайс и заказ'!C:C,$J456)))</f>
      </c>
      <c r="D456" s="64" t="str">
        <f>IF($J456=0,"",IF(INDEX('Прайс и заказ'!D:D,$J456)="","",INDEX('Прайс и заказ'!D:D,$J456)))</f>
      </c>
      <c r="E456" s="61" t="str">
        <f>IF($J456=0,"",IF(INDEX('Прайс и заказ'!F:F,$J456)="","",INDEX('Прайс и заказ'!F:F,$J456)))</f>
      </c>
      <c r="F456" s="62" t="str">
        <f>IF($J456=0,"",IF(INDEX('Прайс и заказ'!I:I,$J456)="","",INDEX('Прайс и заказ'!I:I,$J456)))</f>
      </c>
      <c r="G456" s="63" t="str">
        <f>IF($J456=0,"",IF(INDEX('Прайс и заказ'!K:K,$J456)="","",INDEX('Прайс и заказ'!K:K,$J456)))</f>
      </c>
      <c r="H456" s="62" t="str">
        <f>IF($J456=0,"",IF(INDEX('Прайс и заказ'!L:L,$J456)="","",INDEX('Прайс и заказ'!L:L,$J456)))</f>
      </c>
      <c r="I456" s="13" t="str">
        <f>IF($J456=0,"",IF(INDEX('Прайс и заказ'!M:M,$J456)="","",INDEX('Прайс и заказ'!M:M,$J456)))</f>
      </c>
      <c r="J456" t="str">
        <f>IFERROR(MATCH(448,'Прайс и заказ'!$N$7:$N$623,0)+6,0)</f>
      </c>
      <c r="L456" t="str">
        <f>IF($J456=0,"",IF(INDEX('Прайс и заказ'!Q:Q,$J456)="","",INDEX('Прайс и заказ'!Q:Q,$J456)))</f>
      </c>
    </row>
    <row r="457" spans="1:12" customHeight="1" ht="40">
      <c r="A457" s="13" t="str">
        <f>IF($J457=0,"",IFERROR(_xlfn.IMAGE(INDEX('Прайс и заказ'!$O:$O,$J457)),""))</f>
      </c>
      <c r="B457" s="61" t="str">
        <f>IF($J457=0,"",IF(INDEX('Прайс и заказ'!B:B,$J457)="","",INDEX('Прайс и заказ'!B:B,$J457)))</f>
      </c>
      <c r="C457" s="64" t="str">
        <f>IF($J457=0,"",IF(INDEX('Прайс и заказ'!C:C,$J457)="","",INDEX('Прайс и заказ'!C:C,$J457)))</f>
      </c>
      <c r="D457" s="64" t="str">
        <f>IF($J457=0,"",IF(INDEX('Прайс и заказ'!D:D,$J457)="","",INDEX('Прайс и заказ'!D:D,$J457)))</f>
      </c>
      <c r="E457" s="61" t="str">
        <f>IF($J457=0,"",IF(INDEX('Прайс и заказ'!F:F,$J457)="","",INDEX('Прайс и заказ'!F:F,$J457)))</f>
      </c>
      <c r="F457" s="62" t="str">
        <f>IF($J457=0,"",IF(INDEX('Прайс и заказ'!I:I,$J457)="","",INDEX('Прайс и заказ'!I:I,$J457)))</f>
      </c>
      <c r="G457" s="63" t="str">
        <f>IF($J457=0,"",IF(INDEX('Прайс и заказ'!K:K,$J457)="","",INDEX('Прайс и заказ'!K:K,$J457)))</f>
      </c>
      <c r="H457" s="62" t="str">
        <f>IF($J457=0,"",IF(INDEX('Прайс и заказ'!L:L,$J457)="","",INDEX('Прайс и заказ'!L:L,$J457)))</f>
      </c>
      <c r="I457" s="13" t="str">
        <f>IF($J457=0,"",IF(INDEX('Прайс и заказ'!M:M,$J457)="","",INDEX('Прайс и заказ'!M:M,$J457)))</f>
      </c>
      <c r="J457" t="str">
        <f>IFERROR(MATCH(449,'Прайс и заказ'!$N$7:$N$623,0)+6,0)</f>
      </c>
      <c r="L457" t="str">
        <f>IF($J457=0,"",IF(INDEX('Прайс и заказ'!Q:Q,$J457)="","",INDEX('Прайс и заказ'!Q:Q,$J457)))</f>
      </c>
    </row>
    <row r="458" spans="1:12" customHeight="1" ht="40">
      <c r="A458" s="13" t="str">
        <f>IF($J458=0,"",IFERROR(_xlfn.IMAGE(INDEX('Прайс и заказ'!$O:$O,$J458)),""))</f>
      </c>
      <c r="B458" s="61" t="str">
        <f>IF($J458=0,"",IF(INDEX('Прайс и заказ'!B:B,$J458)="","",INDEX('Прайс и заказ'!B:B,$J458)))</f>
      </c>
      <c r="C458" s="64" t="str">
        <f>IF($J458=0,"",IF(INDEX('Прайс и заказ'!C:C,$J458)="","",INDEX('Прайс и заказ'!C:C,$J458)))</f>
      </c>
      <c r="D458" s="64" t="str">
        <f>IF($J458=0,"",IF(INDEX('Прайс и заказ'!D:D,$J458)="","",INDEX('Прайс и заказ'!D:D,$J458)))</f>
      </c>
      <c r="E458" s="61" t="str">
        <f>IF($J458=0,"",IF(INDEX('Прайс и заказ'!F:F,$J458)="","",INDEX('Прайс и заказ'!F:F,$J458)))</f>
      </c>
      <c r="F458" s="62" t="str">
        <f>IF($J458=0,"",IF(INDEX('Прайс и заказ'!I:I,$J458)="","",INDEX('Прайс и заказ'!I:I,$J458)))</f>
      </c>
      <c r="G458" s="63" t="str">
        <f>IF($J458=0,"",IF(INDEX('Прайс и заказ'!K:K,$J458)="","",INDEX('Прайс и заказ'!K:K,$J458)))</f>
      </c>
      <c r="H458" s="62" t="str">
        <f>IF($J458=0,"",IF(INDEX('Прайс и заказ'!L:L,$J458)="","",INDEX('Прайс и заказ'!L:L,$J458)))</f>
      </c>
      <c r="I458" s="13" t="str">
        <f>IF($J458=0,"",IF(INDEX('Прайс и заказ'!M:M,$J458)="","",INDEX('Прайс и заказ'!M:M,$J458)))</f>
      </c>
      <c r="J458" t="str">
        <f>IFERROR(MATCH(450,'Прайс и заказ'!$N$7:$N$623,0)+6,0)</f>
      </c>
      <c r="L458" t="str">
        <f>IF($J458=0,"",IF(INDEX('Прайс и заказ'!Q:Q,$J458)="","",INDEX('Прайс и заказ'!Q:Q,$J458)))</f>
      </c>
    </row>
    <row r="459" spans="1:12" customHeight="1" ht="40">
      <c r="A459" s="13" t="str">
        <f>IF($J459=0,"",IFERROR(_xlfn.IMAGE(INDEX('Прайс и заказ'!$O:$O,$J459)),""))</f>
      </c>
      <c r="B459" s="61" t="str">
        <f>IF($J459=0,"",IF(INDEX('Прайс и заказ'!B:B,$J459)="","",INDEX('Прайс и заказ'!B:B,$J459)))</f>
      </c>
      <c r="C459" s="64" t="str">
        <f>IF($J459=0,"",IF(INDEX('Прайс и заказ'!C:C,$J459)="","",INDEX('Прайс и заказ'!C:C,$J459)))</f>
      </c>
      <c r="D459" s="64" t="str">
        <f>IF($J459=0,"",IF(INDEX('Прайс и заказ'!D:D,$J459)="","",INDEX('Прайс и заказ'!D:D,$J459)))</f>
      </c>
      <c r="E459" s="61" t="str">
        <f>IF($J459=0,"",IF(INDEX('Прайс и заказ'!F:F,$J459)="","",INDEX('Прайс и заказ'!F:F,$J459)))</f>
      </c>
      <c r="F459" s="62" t="str">
        <f>IF($J459=0,"",IF(INDEX('Прайс и заказ'!I:I,$J459)="","",INDEX('Прайс и заказ'!I:I,$J459)))</f>
      </c>
      <c r="G459" s="63" t="str">
        <f>IF($J459=0,"",IF(INDEX('Прайс и заказ'!K:K,$J459)="","",INDEX('Прайс и заказ'!K:K,$J459)))</f>
      </c>
      <c r="H459" s="62" t="str">
        <f>IF($J459=0,"",IF(INDEX('Прайс и заказ'!L:L,$J459)="","",INDEX('Прайс и заказ'!L:L,$J459)))</f>
      </c>
      <c r="I459" s="13" t="str">
        <f>IF($J459=0,"",IF(INDEX('Прайс и заказ'!M:M,$J459)="","",INDEX('Прайс и заказ'!M:M,$J459)))</f>
      </c>
      <c r="J459" t="str">
        <f>IFERROR(MATCH(451,'Прайс и заказ'!$N$7:$N$623,0)+6,0)</f>
      </c>
      <c r="L459" t="str">
        <f>IF($J459=0,"",IF(INDEX('Прайс и заказ'!Q:Q,$J459)="","",INDEX('Прайс и заказ'!Q:Q,$J459)))</f>
      </c>
    </row>
    <row r="460" spans="1:12" customHeight="1" ht="40">
      <c r="A460" s="13" t="str">
        <f>IF($J460=0,"",IFERROR(_xlfn.IMAGE(INDEX('Прайс и заказ'!$O:$O,$J460)),""))</f>
      </c>
      <c r="B460" s="61" t="str">
        <f>IF($J460=0,"",IF(INDEX('Прайс и заказ'!B:B,$J460)="","",INDEX('Прайс и заказ'!B:B,$J460)))</f>
      </c>
      <c r="C460" s="64" t="str">
        <f>IF($J460=0,"",IF(INDEX('Прайс и заказ'!C:C,$J460)="","",INDEX('Прайс и заказ'!C:C,$J460)))</f>
      </c>
      <c r="D460" s="64" t="str">
        <f>IF($J460=0,"",IF(INDEX('Прайс и заказ'!D:D,$J460)="","",INDEX('Прайс и заказ'!D:D,$J460)))</f>
      </c>
      <c r="E460" s="61" t="str">
        <f>IF($J460=0,"",IF(INDEX('Прайс и заказ'!F:F,$J460)="","",INDEX('Прайс и заказ'!F:F,$J460)))</f>
      </c>
      <c r="F460" s="62" t="str">
        <f>IF($J460=0,"",IF(INDEX('Прайс и заказ'!I:I,$J460)="","",INDEX('Прайс и заказ'!I:I,$J460)))</f>
      </c>
      <c r="G460" s="63" t="str">
        <f>IF($J460=0,"",IF(INDEX('Прайс и заказ'!K:K,$J460)="","",INDEX('Прайс и заказ'!K:K,$J460)))</f>
      </c>
      <c r="H460" s="62" t="str">
        <f>IF($J460=0,"",IF(INDEX('Прайс и заказ'!L:L,$J460)="","",INDEX('Прайс и заказ'!L:L,$J460)))</f>
      </c>
      <c r="I460" s="13" t="str">
        <f>IF($J460=0,"",IF(INDEX('Прайс и заказ'!M:M,$J460)="","",INDEX('Прайс и заказ'!M:M,$J460)))</f>
      </c>
      <c r="J460" t="str">
        <f>IFERROR(MATCH(452,'Прайс и заказ'!$N$7:$N$623,0)+6,0)</f>
      </c>
      <c r="L460" t="str">
        <f>IF($J460=0,"",IF(INDEX('Прайс и заказ'!Q:Q,$J460)="","",INDEX('Прайс и заказ'!Q:Q,$J460)))</f>
      </c>
    </row>
    <row r="461" spans="1:12" customHeight="1" ht="40">
      <c r="A461" s="13" t="str">
        <f>IF($J461=0,"",IFERROR(_xlfn.IMAGE(INDEX('Прайс и заказ'!$O:$O,$J461)),""))</f>
      </c>
      <c r="B461" s="61" t="str">
        <f>IF($J461=0,"",IF(INDEX('Прайс и заказ'!B:B,$J461)="","",INDEX('Прайс и заказ'!B:B,$J461)))</f>
      </c>
      <c r="C461" s="64" t="str">
        <f>IF($J461=0,"",IF(INDEX('Прайс и заказ'!C:C,$J461)="","",INDEX('Прайс и заказ'!C:C,$J461)))</f>
      </c>
      <c r="D461" s="64" t="str">
        <f>IF($J461=0,"",IF(INDEX('Прайс и заказ'!D:D,$J461)="","",INDEX('Прайс и заказ'!D:D,$J461)))</f>
      </c>
      <c r="E461" s="61" t="str">
        <f>IF($J461=0,"",IF(INDEX('Прайс и заказ'!F:F,$J461)="","",INDEX('Прайс и заказ'!F:F,$J461)))</f>
      </c>
      <c r="F461" s="62" t="str">
        <f>IF($J461=0,"",IF(INDEX('Прайс и заказ'!I:I,$J461)="","",INDEX('Прайс и заказ'!I:I,$J461)))</f>
      </c>
      <c r="G461" s="63" t="str">
        <f>IF($J461=0,"",IF(INDEX('Прайс и заказ'!K:K,$J461)="","",INDEX('Прайс и заказ'!K:K,$J461)))</f>
      </c>
      <c r="H461" s="62" t="str">
        <f>IF($J461=0,"",IF(INDEX('Прайс и заказ'!L:L,$J461)="","",INDEX('Прайс и заказ'!L:L,$J461)))</f>
      </c>
      <c r="I461" s="13" t="str">
        <f>IF($J461=0,"",IF(INDEX('Прайс и заказ'!M:M,$J461)="","",INDEX('Прайс и заказ'!M:M,$J461)))</f>
      </c>
      <c r="J461" t="str">
        <f>IFERROR(MATCH(453,'Прайс и заказ'!$N$7:$N$623,0)+6,0)</f>
      </c>
      <c r="L461" t="str">
        <f>IF($J461=0,"",IF(INDEX('Прайс и заказ'!Q:Q,$J461)="","",INDEX('Прайс и заказ'!Q:Q,$J461)))</f>
      </c>
    </row>
    <row r="462" spans="1:12" customHeight="1" ht="40">
      <c r="A462" s="13" t="str">
        <f>IF($J462=0,"",IFERROR(_xlfn.IMAGE(INDEX('Прайс и заказ'!$O:$O,$J462)),""))</f>
      </c>
      <c r="B462" s="61" t="str">
        <f>IF($J462=0,"",IF(INDEX('Прайс и заказ'!B:B,$J462)="","",INDEX('Прайс и заказ'!B:B,$J462)))</f>
      </c>
      <c r="C462" s="64" t="str">
        <f>IF($J462=0,"",IF(INDEX('Прайс и заказ'!C:C,$J462)="","",INDEX('Прайс и заказ'!C:C,$J462)))</f>
      </c>
      <c r="D462" s="64" t="str">
        <f>IF($J462=0,"",IF(INDEX('Прайс и заказ'!D:D,$J462)="","",INDEX('Прайс и заказ'!D:D,$J462)))</f>
      </c>
      <c r="E462" s="61" t="str">
        <f>IF($J462=0,"",IF(INDEX('Прайс и заказ'!F:F,$J462)="","",INDEX('Прайс и заказ'!F:F,$J462)))</f>
      </c>
      <c r="F462" s="62" t="str">
        <f>IF($J462=0,"",IF(INDEX('Прайс и заказ'!I:I,$J462)="","",INDEX('Прайс и заказ'!I:I,$J462)))</f>
      </c>
      <c r="G462" s="63" t="str">
        <f>IF($J462=0,"",IF(INDEX('Прайс и заказ'!K:K,$J462)="","",INDEX('Прайс и заказ'!K:K,$J462)))</f>
      </c>
      <c r="H462" s="62" t="str">
        <f>IF($J462=0,"",IF(INDEX('Прайс и заказ'!L:L,$J462)="","",INDEX('Прайс и заказ'!L:L,$J462)))</f>
      </c>
      <c r="I462" s="13" t="str">
        <f>IF($J462=0,"",IF(INDEX('Прайс и заказ'!M:M,$J462)="","",INDEX('Прайс и заказ'!M:M,$J462)))</f>
      </c>
      <c r="J462" t="str">
        <f>IFERROR(MATCH(454,'Прайс и заказ'!$N$7:$N$623,0)+6,0)</f>
      </c>
      <c r="L462" t="str">
        <f>IF($J462=0,"",IF(INDEX('Прайс и заказ'!Q:Q,$J462)="","",INDEX('Прайс и заказ'!Q:Q,$J462)))</f>
      </c>
    </row>
    <row r="463" spans="1:12" customHeight="1" ht="40">
      <c r="A463" s="13" t="str">
        <f>IF($J463=0,"",IFERROR(_xlfn.IMAGE(INDEX('Прайс и заказ'!$O:$O,$J463)),""))</f>
      </c>
      <c r="B463" s="61" t="str">
        <f>IF($J463=0,"",IF(INDEX('Прайс и заказ'!B:B,$J463)="","",INDEX('Прайс и заказ'!B:B,$J463)))</f>
      </c>
      <c r="C463" s="64" t="str">
        <f>IF($J463=0,"",IF(INDEX('Прайс и заказ'!C:C,$J463)="","",INDEX('Прайс и заказ'!C:C,$J463)))</f>
      </c>
      <c r="D463" s="64" t="str">
        <f>IF($J463=0,"",IF(INDEX('Прайс и заказ'!D:D,$J463)="","",INDEX('Прайс и заказ'!D:D,$J463)))</f>
      </c>
      <c r="E463" s="61" t="str">
        <f>IF($J463=0,"",IF(INDEX('Прайс и заказ'!F:F,$J463)="","",INDEX('Прайс и заказ'!F:F,$J463)))</f>
      </c>
      <c r="F463" s="62" t="str">
        <f>IF($J463=0,"",IF(INDEX('Прайс и заказ'!I:I,$J463)="","",INDEX('Прайс и заказ'!I:I,$J463)))</f>
      </c>
      <c r="G463" s="63" t="str">
        <f>IF($J463=0,"",IF(INDEX('Прайс и заказ'!K:K,$J463)="","",INDEX('Прайс и заказ'!K:K,$J463)))</f>
      </c>
      <c r="H463" s="62" t="str">
        <f>IF($J463=0,"",IF(INDEX('Прайс и заказ'!L:L,$J463)="","",INDEX('Прайс и заказ'!L:L,$J463)))</f>
      </c>
      <c r="I463" s="13" t="str">
        <f>IF($J463=0,"",IF(INDEX('Прайс и заказ'!M:M,$J463)="","",INDEX('Прайс и заказ'!M:M,$J463)))</f>
      </c>
      <c r="J463" t="str">
        <f>IFERROR(MATCH(455,'Прайс и заказ'!$N$7:$N$623,0)+6,0)</f>
      </c>
      <c r="L463" t="str">
        <f>IF($J463=0,"",IF(INDEX('Прайс и заказ'!Q:Q,$J463)="","",INDEX('Прайс и заказ'!Q:Q,$J463)))</f>
      </c>
    </row>
    <row r="464" spans="1:12" customHeight="1" ht="40">
      <c r="A464" s="13" t="str">
        <f>IF($J464=0,"",IFERROR(_xlfn.IMAGE(INDEX('Прайс и заказ'!$O:$O,$J464)),""))</f>
      </c>
      <c r="B464" s="61" t="str">
        <f>IF($J464=0,"",IF(INDEX('Прайс и заказ'!B:B,$J464)="","",INDEX('Прайс и заказ'!B:B,$J464)))</f>
      </c>
      <c r="C464" s="64" t="str">
        <f>IF($J464=0,"",IF(INDEX('Прайс и заказ'!C:C,$J464)="","",INDEX('Прайс и заказ'!C:C,$J464)))</f>
      </c>
      <c r="D464" s="64" t="str">
        <f>IF($J464=0,"",IF(INDEX('Прайс и заказ'!D:D,$J464)="","",INDEX('Прайс и заказ'!D:D,$J464)))</f>
      </c>
      <c r="E464" s="61" t="str">
        <f>IF($J464=0,"",IF(INDEX('Прайс и заказ'!F:F,$J464)="","",INDEX('Прайс и заказ'!F:F,$J464)))</f>
      </c>
      <c r="F464" s="62" t="str">
        <f>IF($J464=0,"",IF(INDEX('Прайс и заказ'!I:I,$J464)="","",INDEX('Прайс и заказ'!I:I,$J464)))</f>
      </c>
      <c r="G464" s="63" t="str">
        <f>IF($J464=0,"",IF(INDEX('Прайс и заказ'!K:K,$J464)="","",INDEX('Прайс и заказ'!K:K,$J464)))</f>
      </c>
      <c r="H464" s="62" t="str">
        <f>IF($J464=0,"",IF(INDEX('Прайс и заказ'!L:L,$J464)="","",INDEX('Прайс и заказ'!L:L,$J464)))</f>
      </c>
      <c r="I464" s="13" t="str">
        <f>IF($J464=0,"",IF(INDEX('Прайс и заказ'!M:M,$J464)="","",INDEX('Прайс и заказ'!M:M,$J464)))</f>
      </c>
      <c r="J464" t="str">
        <f>IFERROR(MATCH(456,'Прайс и заказ'!$N$7:$N$623,0)+6,0)</f>
      </c>
      <c r="L464" t="str">
        <f>IF($J464=0,"",IF(INDEX('Прайс и заказ'!Q:Q,$J464)="","",INDEX('Прайс и заказ'!Q:Q,$J464)))</f>
      </c>
    </row>
    <row r="465" spans="1:12" customHeight="1" ht="40">
      <c r="A465" s="13" t="str">
        <f>IF($J465=0,"",IFERROR(_xlfn.IMAGE(INDEX('Прайс и заказ'!$O:$O,$J465)),""))</f>
      </c>
      <c r="B465" s="61" t="str">
        <f>IF($J465=0,"",IF(INDEX('Прайс и заказ'!B:B,$J465)="","",INDEX('Прайс и заказ'!B:B,$J465)))</f>
      </c>
      <c r="C465" s="64" t="str">
        <f>IF($J465=0,"",IF(INDEX('Прайс и заказ'!C:C,$J465)="","",INDEX('Прайс и заказ'!C:C,$J465)))</f>
      </c>
      <c r="D465" s="64" t="str">
        <f>IF($J465=0,"",IF(INDEX('Прайс и заказ'!D:D,$J465)="","",INDEX('Прайс и заказ'!D:D,$J465)))</f>
      </c>
      <c r="E465" s="61" t="str">
        <f>IF($J465=0,"",IF(INDEX('Прайс и заказ'!F:F,$J465)="","",INDEX('Прайс и заказ'!F:F,$J465)))</f>
      </c>
      <c r="F465" s="62" t="str">
        <f>IF($J465=0,"",IF(INDEX('Прайс и заказ'!I:I,$J465)="","",INDEX('Прайс и заказ'!I:I,$J465)))</f>
      </c>
      <c r="G465" s="63" t="str">
        <f>IF($J465=0,"",IF(INDEX('Прайс и заказ'!K:K,$J465)="","",INDEX('Прайс и заказ'!K:K,$J465)))</f>
      </c>
      <c r="H465" s="62" t="str">
        <f>IF($J465=0,"",IF(INDEX('Прайс и заказ'!L:L,$J465)="","",INDEX('Прайс и заказ'!L:L,$J465)))</f>
      </c>
      <c r="I465" s="13" t="str">
        <f>IF($J465=0,"",IF(INDEX('Прайс и заказ'!M:M,$J465)="","",INDEX('Прайс и заказ'!M:M,$J465)))</f>
      </c>
      <c r="J465" t="str">
        <f>IFERROR(MATCH(457,'Прайс и заказ'!$N$7:$N$623,0)+6,0)</f>
      </c>
      <c r="L465" t="str">
        <f>IF($J465=0,"",IF(INDEX('Прайс и заказ'!Q:Q,$J465)="","",INDEX('Прайс и заказ'!Q:Q,$J465)))</f>
      </c>
    </row>
    <row r="466" spans="1:12" customHeight="1" ht="40">
      <c r="A466" s="13" t="str">
        <f>IF($J466=0,"",IFERROR(_xlfn.IMAGE(INDEX('Прайс и заказ'!$O:$O,$J466)),""))</f>
      </c>
      <c r="B466" s="61" t="str">
        <f>IF($J466=0,"",IF(INDEX('Прайс и заказ'!B:B,$J466)="","",INDEX('Прайс и заказ'!B:B,$J466)))</f>
      </c>
      <c r="C466" s="64" t="str">
        <f>IF($J466=0,"",IF(INDEX('Прайс и заказ'!C:C,$J466)="","",INDEX('Прайс и заказ'!C:C,$J466)))</f>
      </c>
      <c r="D466" s="64" t="str">
        <f>IF($J466=0,"",IF(INDEX('Прайс и заказ'!D:D,$J466)="","",INDEX('Прайс и заказ'!D:D,$J466)))</f>
      </c>
      <c r="E466" s="61" t="str">
        <f>IF($J466=0,"",IF(INDEX('Прайс и заказ'!F:F,$J466)="","",INDEX('Прайс и заказ'!F:F,$J466)))</f>
      </c>
      <c r="F466" s="62" t="str">
        <f>IF($J466=0,"",IF(INDEX('Прайс и заказ'!I:I,$J466)="","",INDEX('Прайс и заказ'!I:I,$J466)))</f>
      </c>
      <c r="G466" s="63" t="str">
        <f>IF($J466=0,"",IF(INDEX('Прайс и заказ'!K:K,$J466)="","",INDEX('Прайс и заказ'!K:K,$J466)))</f>
      </c>
      <c r="H466" s="62" t="str">
        <f>IF($J466=0,"",IF(INDEX('Прайс и заказ'!L:L,$J466)="","",INDEX('Прайс и заказ'!L:L,$J466)))</f>
      </c>
      <c r="I466" s="13" t="str">
        <f>IF($J466=0,"",IF(INDEX('Прайс и заказ'!M:M,$J466)="","",INDEX('Прайс и заказ'!M:M,$J466)))</f>
      </c>
      <c r="J466" t="str">
        <f>IFERROR(MATCH(458,'Прайс и заказ'!$N$7:$N$623,0)+6,0)</f>
      </c>
      <c r="L466" t="str">
        <f>IF($J466=0,"",IF(INDEX('Прайс и заказ'!Q:Q,$J466)="","",INDEX('Прайс и заказ'!Q:Q,$J466)))</f>
      </c>
    </row>
    <row r="467" spans="1:12" customHeight="1" ht="40">
      <c r="A467" s="13" t="str">
        <f>IF($J467=0,"",IFERROR(_xlfn.IMAGE(INDEX('Прайс и заказ'!$O:$O,$J467)),""))</f>
      </c>
      <c r="B467" s="61" t="str">
        <f>IF($J467=0,"",IF(INDEX('Прайс и заказ'!B:B,$J467)="","",INDEX('Прайс и заказ'!B:B,$J467)))</f>
      </c>
      <c r="C467" s="64" t="str">
        <f>IF($J467=0,"",IF(INDEX('Прайс и заказ'!C:C,$J467)="","",INDEX('Прайс и заказ'!C:C,$J467)))</f>
      </c>
      <c r="D467" s="64" t="str">
        <f>IF($J467=0,"",IF(INDEX('Прайс и заказ'!D:D,$J467)="","",INDEX('Прайс и заказ'!D:D,$J467)))</f>
      </c>
      <c r="E467" s="61" t="str">
        <f>IF($J467=0,"",IF(INDEX('Прайс и заказ'!F:F,$J467)="","",INDEX('Прайс и заказ'!F:F,$J467)))</f>
      </c>
      <c r="F467" s="62" t="str">
        <f>IF($J467=0,"",IF(INDEX('Прайс и заказ'!I:I,$J467)="","",INDEX('Прайс и заказ'!I:I,$J467)))</f>
      </c>
      <c r="G467" s="63" t="str">
        <f>IF($J467=0,"",IF(INDEX('Прайс и заказ'!K:K,$J467)="","",INDEX('Прайс и заказ'!K:K,$J467)))</f>
      </c>
      <c r="H467" s="62" t="str">
        <f>IF($J467=0,"",IF(INDEX('Прайс и заказ'!L:L,$J467)="","",INDEX('Прайс и заказ'!L:L,$J467)))</f>
      </c>
      <c r="I467" s="13" t="str">
        <f>IF($J467=0,"",IF(INDEX('Прайс и заказ'!M:M,$J467)="","",INDEX('Прайс и заказ'!M:M,$J467)))</f>
      </c>
      <c r="J467" t="str">
        <f>IFERROR(MATCH(459,'Прайс и заказ'!$N$7:$N$623,0)+6,0)</f>
      </c>
      <c r="L467" t="str">
        <f>IF($J467=0,"",IF(INDEX('Прайс и заказ'!Q:Q,$J467)="","",INDEX('Прайс и заказ'!Q:Q,$J467)))</f>
      </c>
    </row>
    <row r="468" spans="1:12" customHeight="1" ht="40">
      <c r="A468" s="13" t="str">
        <f>IF($J468=0,"",IFERROR(_xlfn.IMAGE(INDEX('Прайс и заказ'!$O:$O,$J468)),""))</f>
      </c>
      <c r="B468" s="61" t="str">
        <f>IF($J468=0,"",IF(INDEX('Прайс и заказ'!B:B,$J468)="","",INDEX('Прайс и заказ'!B:B,$J468)))</f>
      </c>
      <c r="C468" s="64" t="str">
        <f>IF($J468=0,"",IF(INDEX('Прайс и заказ'!C:C,$J468)="","",INDEX('Прайс и заказ'!C:C,$J468)))</f>
      </c>
      <c r="D468" s="64" t="str">
        <f>IF($J468=0,"",IF(INDEX('Прайс и заказ'!D:D,$J468)="","",INDEX('Прайс и заказ'!D:D,$J468)))</f>
      </c>
      <c r="E468" s="61" t="str">
        <f>IF($J468=0,"",IF(INDEX('Прайс и заказ'!F:F,$J468)="","",INDEX('Прайс и заказ'!F:F,$J468)))</f>
      </c>
      <c r="F468" s="62" t="str">
        <f>IF($J468=0,"",IF(INDEX('Прайс и заказ'!I:I,$J468)="","",INDEX('Прайс и заказ'!I:I,$J468)))</f>
      </c>
      <c r="G468" s="63" t="str">
        <f>IF($J468=0,"",IF(INDEX('Прайс и заказ'!K:K,$J468)="","",INDEX('Прайс и заказ'!K:K,$J468)))</f>
      </c>
      <c r="H468" s="62" t="str">
        <f>IF($J468=0,"",IF(INDEX('Прайс и заказ'!L:L,$J468)="","",INDEX('Прайс и заказ'!L:L,$J468)))</f>
      </c>
      <c r="I468" s="13" t="str">
        <f>IF($J468=0,"",IF(INDEX('Прайс и заказ'!M:M,$J468)="","",INDEX('Прайс и заказ'!M:M,$J468)))</f>
      </c>
      <c r="J468" t="str">
        <f>IFERROR(MATCH(460,'Прайс и заказ'!$N$7:$N$623,0)+6,0)</f>
      </c>
      <c r="L468" t="str">
        <f>IF($J468=0,"",IF(INDEX('Прайс и заказ'!Q:Q,$J468)="","",INDEX('Прайс и заказ'!Q:Q,$J468)))</f>
      </c>
    </row>
    <row r="469" spans="1:12" customHeight="1" ht="40">
      <c r="A469" s="13" t="str">
        <f>IF($J469=0,"",IFERROR(_xlfn.IMAGE(INDEX('Прайс и заказ'!$O:$O,$J469)),""))</f>
      </c>
      <c r="B469" s="61" t="str">
        <f>IF($J469=0,"",IF(INDEX('Прайс и заказ'!B:B,$J469)="","",INDEX('Прайс и заказ'!B:B,$J469)))</f>
      </c>
      <c r="C469" s="64" t="str">
        <f>IF($J469=0,"",IF(INDEX('Прайс и заказ'!C:C,$J469)="","",INDEX('Прайс и заказ'!C:C,$J469)))</f>
      </c>
      <c r="D469" s="64" t="str">
        <f>IF($J469=0,"",IF(INDEX('Прайс и заказ'!D:D,$J469)="","",INDEX('Прайс и заказ'!D:D,$J469)))</f>
      </c>
      <c r="E469" s="61" t="str">
        <f>IF($J469=0,"",IF(INDEX('Прайс и заказ'!F:F,$J469)="","",INDEX('Прайс и заказ'!F:F,$J469)))</f>
      </c>
      <c r="F469" s="62" t="str">
        <f>IF($J469=0,"",IF(INDEX('Прайс и заказ'!I:I,$J469)="","",INDEX('Прайс и заказ'!I:I,$J469)))</f>
      </c>
      <c r="G469" s="63" t="str">
        <f>IF($J469=0,"",IF(INDEX('Прайс и заказ'!K:K,$J469)="","",INDEX('Прайс и заказ'!K:K,$J469)))</f>
      </c>
      <c r="H469" s="62" t="str">
        <f>IF($J469=0,"",IF(INDEX('Прайс и заказ'!L:L,$J469)="","",INDEX('Прайс и заказ'!L:L,$J469)))</f>
      </c>
      <c r="I469" s="13" t="str">
        <f>IF($J469=0,"",IF(INDEX('Прайс и заказ'!M:M,$J469)="","",INDEX('Прайс и заказ'!M:M,$J469)))</f>
      </c>
      <c r="J469" t="str">
        <f>IFERROR(MATCH(461,'Прайс и заказ'!$N$7:$N$623,0)+6,0)</f>
      </c>
      <c r="L469" t="str">
        <f>IF($J469=0,"",IF(INDEX('Прайс и заказ'!Q:Q,$J469)="","",INDEX('Прайс и заказ'!Q:Q,$J469)))</f>
      </c>
    </row>
    <row r="470" spans="1:12" customHeight="1" ht="40">
      <c r="A470" s="13" t="str">
        <f>IF($J470=0,"",IFERROR(_xlfn.IMAGE(INDEX('Прайс и заказ'!$O:$O,$J470)),""))</f>
      </c>
      <c r="B470" s="61" t="str">
        <f>IF($J470=0,"",IF(INDEX('Прайс и заказ'!B:B,$J470)="","",INDEX('Прайс и заказ'!B:B,$J470)))</f>
      </c>
      <c r="C470" s="64" t="str">
        <f>IF($J470=0,"",IF(INDEX('Прайс и заказ'!C:C,$J470)="","",INDEX('Прайс и заказ'!C:C,$J470)))</f>
      </c>
      <c r="D470" s="64" t="str">
        <f>IF($J470=0,"",IF(INDEX('Прайс и заказ'!D:D,$J470)="","",INDEX('Прайс и заказ'!D:D,$J470)))</f>
      </c>
      <c r="E470" s="61" t="str">
        <f>IF($J470=0,"",IF(INDEX('Прайс и заказ'!F:F,$J470)="","",INDEX('Прайс и заказ'!F:F,$J470)))</f>
      </c>
      <c r="F470" s="62" t="str">
        <f>IF($J470=0,"",IF(INDEX('Прайс и заказ'!I:I,$J470)="","",INDEX('Прайс и заказ'!I:I,$J470)))</f>
      </c>
      <c r="G470" s="63" t="str">
        <f>IF($J470=0,"",IF(INDEX('Прайс и заказ'!K:K,$J470)="","",INDEX('Прайс и заказ'!K:K,$J470)))</f>
      </c>
      <c r="H470" s="62" t="str">
        <f>IF($J470=0,"",IF(INDEX('Прайс и заказ'!L:L,$J470)="","",INDEX('Прайс и заказ'!L:L,$J470)))</f>
      </c>
      <c r="I470" s="13" t="str">
        <f>IF($J470=0,"",IF(INDEX('Прайс и заказ'!M:M,$J470)="","",INDEX('Прайс и заказ'!M:M,$J470)))</f>
      </c>
      <c r="J470" t="str">
        <f>IFERROR(MATCH(462,'Прайс и заказ'!$N$7:$N$623,0)+6,0)</f>
      </c>
      <c r="L470" t="str">
        <f>IF($J470=0,"",IF(INDEX('Прайс и заказ'!Q:Q,$J470)="","",INDEX('Прайс и заказ'!Q:Q,$J470)))</f>
      </c>
    </row>
    <row r="471" spans="1:12" customHeight="1" ht="40">
      <c r="A471" s="13" t="str">
        <f>IF($J471=0,"",IFERROR(_xlfn.IMAGE(INDEX('Прайс и заказ'!$O:$O,$J471)),""))</f>
      </c>
      <c r="B471" s="61" t="str">
        <f>IF($J471=0,"",IF(INDEX('Прайс и заказ'!B:B,$J471)="","",INDEX('Прайс и заказ'!B:B,$J471)))</f>
      </c>
      <c r="C471" s="64" t="str">
        <f>IF($J471=0,"",IF(INDEX('Прайс и заказ'!C:C,$J471)="","",INDEX('Прайс и заказ'!C:C,$J471)))</f>
      </c>
      <c r="D471" s="64" t="str">
        <f>IF($J471=0,"",IF(INDEX('Прайс и заказ'!D:D,$J471)="","",INDEX('Прайс и заказ'!D:D,$J471)))</f>
      </c>
      <c r="E471" s="61" t="str">
        <f>IF($J471=0,"",IF(INDEX('Прайс и заказ'!F:F,$J471)="","",INDEX('Прайс и заказ'!F:F,$J471)))</f>
      </c>
      <c r="F471" s="62" t="str">
        <f>IF($J471=0,"",IF(INDEX('Прайс и заказ'!I:I,$J471)="","",INDEX('Прайс и заказ'!I:I,$J471)))</f>
      </c>
      <c r="G471" s="63" t="str">
        <f>IF($J471=0,"",IF(INDEX('Прайс и заказ'!K:K,$J471)="","",INDEX('Прайс и заказ'!K:K,$J471)))</f>
      </c>
      <c r="H471" s="62" t="str">
        <f>IF($J471=0,"",IF(INDEX('Прайс и заказ'!L:L,$J471)="","",INDEX('Прайс и заказ'!L:L,$J471)))</f>
      </c>
      <c r="I471" s="13" t="str">
        <f>IF($J471=0,"",IF(INDEX('Прайс и заказ'!M:M,$J471)="","",INDEX('Прайс и заказ'!M:M,$J471)))</f>
      </c>
      <c r="J471" t="str">
        <f>IFERROR(MATCH(463,'Прайс и заказ'!$N$7:$N$623,0)+6,0)</f>
      </c>
      <c r="L471" t="str">
        <f>IF($J471=0,"",IF(INDEX('Прайс и заказ'!Q:Q,$J471)="","",INDEX('Прайс и заказ'!Q:Q,$J471)))</f>
      </c>
    </row>
    <row r="472" spans="1:12" customHeight="1" ht="40">
      <c r="A472" s="13" t="str">
        <f>IF($J472=0,"",IFERROR(_xlfn.IMAGE(INDEX('Прайс и заказ'!$O:$O,$J472)),""))</f>
      </c>
      <c r="B472" s="61" t="str">
        <f>IF($J472=0,"",IF(INDEX('Прайс и заказ'!B:B,$J472)="","",INDEX('Прайс и заказ'!B:B,$J472)))</f>
      </c>
      <c r="C472" s="64" t="str">
        <f>IF($J472=0,"",IF(INDEX('Прайс и заказ'!C:C,$J472)="","",INDEX('Прайс и заказ'!C:C,$J472)))</f>
      </c>
      <c r="D472" s="64" t="str">
        <f>IF($J472=0,"",IF(INDEX('Прайс и заказ'!D:D,$J472)="","",INDEX('Прайс и заказ'!D:D,$J472)))</f>
      </c>
      <c r="E472" s="61" t="str">
        <f>IF($J472=0,"",IF(INDEX('Прайс и заказ'!F:F,$J472)="","",INDEX('Прайс и заказ'!F:F,$J472)))</f>
      </c>
      <c r="F472" s="62" t="str">
        <f>IF($J472=0,"",IF(INDEX('Прайс и заказ'!I:I,$J472)="","",INDEX('Прайс и заказ'!I:I,$J472)))</f>
      </c>
      <c r="G472" s="63" t="str">
        <f>IF($J472=0,"",IF(INDEX('Прайс и заказ'!K:K,$J472)="","",INDEX('Прайс и заказ'!K:K,$J472)))</f>
      </c>
      <c r="H472" s="62" t="str">
        <f>IF($J472=0,"",IF(INDEX('Прайс и заказ'!L:L,$J472)="","",INDEX('Прайс и заказ'!L:L,$J472)))</f>
      </c>
      <c r="I472" s="13" t="str">
        <f>IF($J472=0,"",IF(INDEX('Прайс и заказ'!M:M,$J472)="","",INDEX('Прайс и заказ'!M:M,$J472)))</f>
      </c>
      <c r="J472" t="str">
        <f>IFERROR(MATCH(464,'Прайс и заказ'!$N$7:$N$623,0)+6,0)</f>
      </c>
      <c r="L472" t="str">
        <f>IF($J472=0,"",IF(INDEX('Прайс и заказ'!Q:Q,$J472)="","",INDEX('Прайс и заказ'!Q:Q,$J472)))</f>
      </c>
    </row>
    <row r="473" spans="1:12" customHeight="1" ht="40">
      <c r="A473" s="13" t="str">
        <f>IF($J473=0,"",IFERROR(_xlfn.IMAGE(INDEX('Прайс и заказ'!$O:$O,$J473)),""))</f>
      </c>
      <c r="B473" s="61" t="str">
        <f>IF($J473=0,"",IF(INDEX('Прайс и заказ'!B:B,$J473)="","",INDEX('Прайс и заказ'!B:B,$J473)))</f>
      </c>
      <c r="C473" s="64" t="str">
        <f>IF($J473=0,"",IF(INDEX('Прайс и заказ'!C:C,$J473)="","",INDEX('Прайс и заказ'!C:C,$J473)))</f>
      </c>
      <c r="D473" s="64" t="str">
        <f>IF($J473=0,"",IF(INDEX('Прайс и заказ'!D:D,$J473)="","",INDEX('Прайс и заказ'!D:D,$J473)))</f>
      </c>
      <c r="E473" s="61" t="str">
        <f>IF($J473=0,"",IF(INDEX('Прайс и заказ'!F:F,$J473)="","",INDEX('Прайс и заказ'!F:F,$J473)))</f>
      </c>
      <c r="F473" s="62" t="str">
        <f>IF($J473=0,"",IF(INDEX('Прайс и заказ'!I:I,$J473)="","",INDEX('Прайс и заказ'!I:I,$J473)))</f>
      </c>
      <c r="G473" s="63" t="str">
        <f>IF($J473=0,"",IF(INDEX('Прайс и заказ'!K:K,$J473)="","",INDEX('Прайс и заказ'!K:K,$J473)))</f>
      </c>
      <c r="H473" s="62" t="str">
        <f>IF($J473=0,"",IF(INDEX('Прайс и заказ'!L:L,$J473)="","",INDEX('Прайс и заказ'!L:L,$J473)))</f>
      </c>
      <c r="I473" s="13" t="str">
        <f>IF($J473=0,"",IF(INDEX('Прайс и заказ'!M:M,$J473)="","",INDEX('Прайс и заказ'!M:M,$J473)))</f>
      </c>
      <c r="J473" t="str">
        <f>IFERROR(MATCH(465,'Прайс и заказ'!$N$7:$N$623,0)+6,0)</f>
      </c>
      <c r="L473" t="str">
        <f>IF($J473=0,"",IF(INDEX('Прайс и заказ'!Q:Q,$J473)="","",INDEX('Прайс и заказ'!Q:Q,$J473)))</f>
      </c>
    </row>
    <row r="474" spans="1:12" customHeight="1" ht="40">
      <c r="A474" s="13" t="str">
        <f>IF($J474=0,"",IFERROR(_xlfn.IMAGE(INDEX('Прайс и заказ'!$O:$O,$J474)),""))</f>
      </c>
      <c r="B474" s="61" t="str">
        <f>IF($J474=0,"",IF(INDEX('Прайс и заказ'!B:B,$J474)="","",INDEX('Прайс и заказ'!B:B,$J474)))</f>
      </c>
      <c r="C474" s="64" t="str">
        <f>IF($J474=0,"",IF(INDEX('Прайс и заказ'!C:C,$J474)="","",INDEX('Прайс и заказ'!C:C,$J474)))</f>
      </c>
      <c r="D474" s="64" t="str">
        <f>IF($J474=0,"",IF(INDEX('Прайс и заказ'!D:D,$J474)="","",INDEX('Прайс и заказ'!D:D,$J474)))</f>
      </c>
      <c r="E474" s="61" t="str">
        <f>IF($J474=0,"",IF(INDEX('Прайс и заказ'!F:F,$J474)="","",INDEX('Прайс и заказ'!F:F,$J474)))</f>
      </c>
      <c r="F474" s="62" t="str">
        <f>IF($J474=0,"",IF(INDEX('Прайс и заказ'!I:I,$J474)="","",INDEX('Прайс и заказ'!I:I,$J474)))</f>
      </c>
      <c r="G474" s="63" t="str">
        <f>IF($J474=0,"",IF(INDEX('Прайс и заказ'!K:K,$J474)="","",INDEX('Прайс и заказ'!K:K,$J474)))</f>
      </c>
      <c r="H474" s="62" t="str">
        <f>IF($J474=0,"",IF(INDEX('Прайс и заказ'!L:L,$J474)="","",INDEX('Прайс и заказ'!L:L,$J474)))</f>
      </c>
      <c r="I474" s="13" t="str">
        <f>IF($J474=0,"",IF(INDEX('Прайс и заказ'!M:M,$J474)="","",INDEX('Прайс и заказ'!M:M,$J474)))</f>
      </c>
      <c r="J474" t="str">
        <f>IFERROR(MATCH(466,'Прайс и заказ'!$N$7:$N$623,0)+6,0)</f>
      </c>
      <c r="L474" t="str">
        <f>IF($J474=0,"",IF(INDEX('Прайс и заказ'!Q:Q,$J474)="","",INDEX('Прайс и заказ'!Q:Q,$J474)))</f>
      </c>
    </row>
    <row r="475" spans="1:12" customHeight="1" ht="40">
      <c r="A475" s="13" t="str">
        <f>IF($J475=0,"",IFERROR(_xlfn.IMAGE(INDEX('Прайс и заказ'!$O:$O,$J475)),""))</f>
      </c>
      <c r="B475" s="61" t="str">
        <f>IF($J475=0,"",IF(INDEX('Прайс и заказ'!B:B,$J475)="","",INDEX('Прайс и заказ'!B:B,$J475)))</f>
      </c>
      <c r="C475" s="64" t="str">
        <f>IF($J475=0,"",IF(INDEX('Прайс и заказ'!C:C,$J475)="","",INDEX('Прайс и заказ'!C:C,$J475)))</f>
      </c>
      <c r="D475" s="64" t="str">
        <f>IF($J475=0,"",IF(INDEX('Прайс и заказ'!D:D,$J475)="","",INDEX('Прайс и заказ'!D:D,$J475)))</f>
      </c>
      <c r="E475" s="61" t="str">
        <f>IF($J475=0,"",IF(INDEX('Прайс и заказ'!F:F,$J475)="","",INDEX('Прайс и заказ'!F:F,$J475)))</f>
      </c>
      <c r="F475" s="62" t="str">
        <f>IF($J475=0,"",IF(INDEX('Прайс и заказ'!I:I,$J475)="","",INDEX('Прайс и заказ'!I:I,$J475)))</f>
      </c>
      <c r="G475" s="63" t="str">
        <f>IF($J475=0,"",IF(INDEX('Прайс и заказ'!K:K,$J475)="","",INDEX('Прайс и заказ'!K:K,$J475)))</f>
      </c>
      <c r="H475" s="62" t="str">
        <f>IF($J475=0,"",IF(INDEX('Прайс и заказ'!L:L,$J475)="","",INDEX('Прайс и заказ'!L:L,$J475)))</f>
      </c>
      <c r="I475" s="13" t="str">
        <f>IF($J475=0,"",IF(INDEX('Прайс и заказ'!M:M,$J475)="","",INDEX('Прайс и заказ'!M:M,$J475)))</f>
      </c>
      <c r="J475" t="str">
        <f>IFERROR(MATCH(467,'Прайс и заказ'!$N$7:$N$623,0)+6,0)</f>
      </c>
      <c r="L475" t="str">
        <f>IF($J475=0,"",IF(INDEX('Прайс и заказ'!Q:Q,$J475)="","",INDEX('Прайс и заказ'!Q:Q,$J475)))</f>
      </c>
    </row>
    <row r="476" spans="1:12" customHeight="1" ht="40">
      <c r="A476" s="13" t="str">
        <f>IF($J476=0,"",IFERROR(_xlfn.IMAGE(INDEX('Прайс и заказ'!$O:$O,$J476)),""))</f>
      </c>
      <c r="B476" s="61" t="str">
        <f>IF($J476=0,"",IF(INDEX('Прайс и заказ'!B:B,$J476)="","",INDEX('Прайс и заказ'!B:B,$J476)))</f>
      </c>
      <c r="C476" s="64" t="str">
        <f>IF($J476=0,"",IF(INDEX('Прайс и заказ'!C:C,$J476)="","",INDEX('Прайс и заказ'!C:C,$J476)))</f>
      </c>
      <c r="D476" s="64" t="str">
        <f>IF($J476=0,"",IF(INDEX('Прайс и заказ'!D:D,$J476)="","",INDEX('Прайс и заказ'!D:D,$J476)))</f>
      </c>
      <c r="E476" s="61" t="str">
        <f>IF($J476=0,"",IF(INDEX('Прайс и заказ'!F:F,$J476)="","",INDEX('Прайс и заказ'!F:F,$J476)))</f>
      </c>
      <c r="F476" s="62" t="str">
        <f>IF($J476=0,"",IF(INDEX('Прайс и заказ'!I:I,$J476)="","",INDEX('Прайс и заказ'!I:I,$J476)))</f>
      </c>
      <c r="G476" s="63" t="str">
        <f>IF($J476=0,"",IF(INDEX('Прайс и заказ'!K:K,$J476)="","",INDEX('Прайс и заказ'!K:K,$J476)))</f>
      </c>
      <c r="H476" s="62" t="str">
        <f>IF($J476=0,"",IF(INDEX('Прайс и заказ'!L:L,$J476)="","",INDEX('Прайс и заказ'!L:L,$J476)))</f>
      </c>
      <c r="I476" s="13" t="str">
        <f>IF($J476=0,"",IF(INDEX('Прайс и заказ'!M:M,$J476)="","",INDEX('Прайс и заказ'!M:M,$J476)))</f>
      </c>
      <c r="J476" t="str">
        <f>IFERROR(MATCH(468,'Прайс и заказ'!$N$7:$N$623,0)+6,0)</f>
      </c>
      <c r="L476" t="str">
        <f>IF($J476=0,"",IF(INDEX('Прайс и заказ'!Q:Q,$J476)="","",INDEX('Прайс и заказ'!Q:Q,$J476)))</f>
      </c>
    </row>
    <row r="477" spans="1:12" customHeight="1" ht="40">
      <c r="A477" s="13" t="str">
        <f>IF($J477=0,"",IFERROR(_xlfn.IMAGE(INDEX('Прайс и заказ'!$O:$O,$J477)),""))</f>
      </c>
      <c r="B477" s="61" t="str">
        <f>IF($J477=0,"",IF(INDEX('Прайс и заказ'!B:B,$J477)="","",INDEX('Прайс и заказ'!B:B,$J477)))</f>
      </c>
      <c r="C477" s="64" t="str">
        <f>IF($J477=0,"",IF(INDEX('Прайс и заказ'!C:C,$J477)="","",INDEX('Прайс и заказ'!C:C,$J477)))</f>
      </c>
      <c r="D477" s="64" t="str">
        <f>IF($J477=0,"",IF(INDEX('Прайс и заказ'!D:D,$J477)="","",INDEX('Прайс и заказ'!D:D,$J477)))</f>
      </c>
      <c r="E477" s="61" t="str">
        <f>IF($J477=0,"",IF(INDEX('Прайс и заказ'!F:F,$J477)="","",INDEX('Прайс и заказ'!F:F,$J477)))</f>
      </c>
      <c r="F477" s="62" t="str">
        <f>IF($J477=0,"",IF(INDEX('Прайс и заказ'!I:I,$J477)="","",INDEX('Прайс и заказ'!I:I,$J477)))</f>
      </c>
      <c r="G477" s="63" t="str">
        <f>IF($J477=0,"",IF(INDEX('Прайс и заказ'!K:K,$J477)="","",INDEX('Прайс и заказ'!K:K,$J477)))</f>
      </c>
      <c r="H477" s="62" t="str">
        <f>IF($J477=0,"",IF(INDEX('Прайс и заказ'!L:L,$J477)="","",INDEX('Прайс и заказ'!L:L,$J477)))</f>
      </c>
      <c r="I477" s="13" t="str">
        <f>IF($J477=0,"",IF(INDEX('Прайс и заказ'!M:M,$J477)="","",INDEX('Прайс и заказ'!M:M,$J477)))</f>
      </c>
      <c r="J477" t="str">
        <f>IFERROR(MATCH(469,'Прайс и заказ'!$N$7:$N$623,0)+6,0)</f>
      </c>
      <c r="L477" t="str">
        <f>IF($J477=0,"",IF(INDEX('Прайс и заказ'!Q:Q,$J477)="","",INDEX('Прайс и заказ'!Q:Q,$J477)))</f>
      </c>
    </row>
    <row r="478" spans="1:12" customHeight="1" ht="40">
      <c r="A478" s="13" t="str">
        <f>IF($J478=0,"",IFERROR(_xlfn.IMAGE(INDEX('Прайс и заказ'!$O:$O,$J478)),""))</f>
      </c>
      <c r="B478" s="61" t="str">
        <f>IF($J478=0,"",IF(INDEX('Прайс и заказ'!B:B,$J478)="","",INDEX('Прайс и заказ'!B:B,$J478)))</f>
      </c>
      <c r="C478" s="64" t="str">
        <f>IF($J478=0,"",IF(INDEX('Прайс и заказ'!C:C,$J478)="","",INDEX('Прайс и заказ'!C:C,$J478)))</f>
      </c>
      <c r="D478" s="64" t="str">
        <f>IF($J478=0,"",IF(INDEX('Прайс и заказ'!D:D,$J478)="","",INDEX('Прайс и заказ'!D:D,$J478)))</f>
      </c>
      <c r="E478" s="61" t="str">
        <f>IF($J478=0,"",IF(INDEX('Прайс и заказ'!F:F,$J478)="","",INDEX('Прайс и заказ'!F:F,$J478)))</f>
      </c>
      <c r="F478" s="62" t="str">
        <f>IF($J478=0,"",IF(INDEX('Прайс и заказ'!I:I,$J478)="","",INDEX('Прайс и заказ'!I:I,$J478)))</f>
      </c>
      <c r="G478" s="63" t="str">
        <f>IF($J478=0,"",IF(INDEX('Прайс и заказ'!K:K,$J478)="","",INDEX('Прайс и заказ'!K:K,$J478)))</f>
      </c>
      <c r="H478" s="62" t="str">
        <f>IF($J478=0,"",IF(INDEX('Прайс и заказ'!L:L,$J478)="","",INDEX('Прайс и заказ'!L:L,$J478)))</f>
      </c>
      <c r="I478" s="13" t="str">
        <f>IF($J478=0,"",IF(INDEX('Прайс и заказ'!M:M,$J478)="","",INDEX('Прайс и заказ'!M:M,$J478)))</f>
      </c>
      <c r="J478" t="str">
        <f>IFERROR(MATCH(470,'Прайс и заказ'!$N$7:$N$623,0)+6,0)</f>
      </c>
      <c r="L478" t="str">
        <f>IF($J478=0,"",IF(INDEX('Прайс и заказ'!Q:Q,$J478)="","",INDEX('Прайс и заказ'!Q:Q,$J478)))</f>
      </c>
    </row>
    <row r="479" spans="1:12" customHeight="1" ht="40">
      <c r="A479" s="13" t="str">
        <f>IF($J479=0,"",IFERROR(_xlfn.IMAGE(INDEX('Прайс и заказ'!$O:$O,$J479)),""))</f>
      </c>
      <c r="B479" s="61" t="str">
        <f>IF($J479=0,"",IF(INDEX('Прайс и заказ'!B:B,$J479)="","",INDEX('Прайс и заказ'!B:B,$J479)))</f>
      </c>
      <c r="C479" s="64" t="str">
        <f>IF($J479=0,"",IF(INDEX('Прайс и заказ'!C:C,$J479)="","",INDEX('Прайс и заказ'!C:C,$J479)))</f>
      </c>
      <c r="D479" s="64" t="str">
        <f>IF($J479=0,"",IF(INDEX('Прайс и заказ'!D:D,$J479)="","",INDEX('Прайс и заказ'!D:D,$J479)))</f>
      </c>
      <c r="E479" s="61" t="str">
        <f>IF($J479=0,"",IF(INDEX('Прайс и заказ'!F:F,$J479)="","",INDEX('Прайс и заказ'!F:F,$J479)))</f>
      </c>
      <c r="F479" s="62" t="str">
        <f>IF($J479=0,"",IF(INDEX('Прайс и заказ'!I:I,$J479)="","",INDEX('Прайс и заказ'!I:I,$J479)))</f>
      </c>
      <c r="G479" s="63" t="str">
        <f>IF($J479=0,"",IF(INDEX('Прайс и заказ'!K:K,$J479)="","",INDEX('Прайс и заказ'!K:K,$J479)))</f>
      </c>
      <c r="H479" s="62" t="str">
        <f>IF($J479=0,"",IF(INDEX('Прайс и заказ'!L:L,$J479)="","",INDEX('Прайс и заказ'!L:L,$J479)))</f>
      </c>
      <c r="I479" s="13" t="str">
        <f>IF($J479=0,"",IF(INDEX('Прайс и заказ'!M:M,$J479)="","",INDEX('Прайс и заказ'!M:M,$J479)))</f>
      </c>
      <c r="J479" t="str">
        <f>IFERROR(MATCH(471,'Прайс и заказ'!$N$7:$N$623,0)+6,0)</f>
      </c>
      <c r="L479" t="str">
        <f>IF($J479=0,"",IF(INDEX('Прайс и заказ'!Q:Q,$J479)="","",INDEX('Прайс и заказ'!Q:Q,$J479)))</f>
      </c>
    </row>
    <row r="480" spans="1:12" customHeight="1" ht="40">
      <c r="A480" s="13" t="str">
        <f>IF($J480=0,"",IFERROR(_xlfn.IMAGE(INDEX('Прайс и заказ'!$O:$O,$J480)),""))</f>
      </c>
      <c r="B480" s="61" t="str">
        <f>IF($J480=0,"",IF(INDEX('Прайс и заказ'!B:B,$J480)="","",INDEX('Прайс и заказ'!B:B,$J480)))</f>
      </c>
      <c r="C480" s="64" t="str">
        <f>IF($J480=0,"",IF(INDEX('Прайс и заказ'!C:C,$J480)="","",INDEX('Прайс и заказ'!C:C,$J480)))</f>
      </c>
      <c r="D480" s="64" t="str">
        <f>IF($J480=0,"",IF(INDEX('Прайс и заказ'!D:D,$J480)="","",INDEX('Прайс и заказ'!D:D,$J480)))</f>
      </c>
      <c r="E480" s="61" t="str">
        <f>IF($J480=0,"",IF(INDEX('Прайс и заказ'!F:F,$J480)="","",INDEX('Прайс и заказ'!F:F,$J480)))</f>
      </c>
      <c r="F480" s="62" t="str">
        <f>IF($J480=0,"",IF(INDEX('Прайс и заказ'!I:I,$J480)="","",INDEX('Прайс и заказ'!I:I,$J480)))</f>
      </c>
      <c r="G480" s="63" t="str">
        <f>IF($J480=0,"",IF(INDEX('Прайс и заказ'!K:K,$J480)="","",INDEX('Прайс и заказ'!K:K,$J480)))</f>
      </c>
      <c r="H480" s="62" t="str">
        <f>IF($J480=0,"",IF(INDEX('Прайс и заказ'!L:L,$J480)="","",INDEX('Прайс и заказ'!L:L,$J480)))</f>
      </c>
      <c r="I480" s="13" t="str">
        <f>IF($J480=0,"",IF(INDEX('Прайс и заказ'!M:M,$J480)="","",INDEX('Прайс и заказ'!M:M,$J480)))</f>
      </c>
      <c r="J480" t="str">
        <f>IFERROR(MATCH(472,'Прайс и заказ'!$N$7:$N$623,0)+6,0)</f>
      </c>
      <c r="L480" t="str">
        <f>IF($J480=0,"",IF(INDEX('Прайс и заказ'!Q:Q,$J480)="","",INDEX('Прайс и заказ'!Q:Q,$J480)))</f>
      </c>
    </row>
    <row r="481" spans="1:12" customHeight="1" ht="40">
      <c r="A481" s="13" t="str">
        <f>IF($J481=0,"",IFERROR(_xlfn.IMAGE(INDEX('Прайс и заказ'!$O:$O,$J481)),""))</f>
      </c>
      <c r="B481" s="61" t="str">
        <f>IF($J481=0,"",IF(INDEX('Прайс и заказ'!B:B,$J481)="","",INDEX('Прайс и заказ'!B:B,$J481)))</f>
      </c>
      <c r="C481" s="64" t="str">
        <f>IF($J481=0,"",IF(INDEX('Прайс и заказ'!C:C,$J481)="","",INDEX('Прайс и заказ'!C:C,$J481)))</f>
      </c>
      <c r="D481" s="64" t="str">
        <f>IF($J481=0,"",IF(INDEX('Прайс и заказ'!D:D,$J481)="","",INDEX('Прайс и заказ'!D:D,$J481)))</f>
      </c>
      <c r="E481" s="61" t="str">
        <f>IF($J481=0,"",IF(INDEX('Прайс и заказ'!F:F,$J481)="","",INDEX('Прайс и заказ'!F:F,$J481)))</f>
      </c>
      <c r="F481" s="62" t="str">
        <f>IF($J481=0,"",IF(INDEX('Прайс и заказ'!I:I,$J481)="","",INDEX('Прайс и заказ'!I:I,$J481)))</f>
      </c>
      <c r="G481" s="63" t="str">
        <f>IF($J481=0,"",IF(INDEX('Прайс и заказ'!K:K,$J481)="","",INDEX('Прайс и заказ'!K:K,$J481)))</f>
      </c>
      <c r="H481" s="62" t="str">
        <f>IF($J481=0,"",IF(INDEX('Прайс и заказ'!L:L,$J481)="","",INDEX('Прайс и заказ'!L:L,$J481)))</f>
      </c>
      <c r="I481" s="13" t="str">
        <f>IF($J481=0,"",IF(INDEX('Прайс и заказ'!M:M,$J481)="","",INDEX('Прайс и заказ'!M:M,$J481)))</f>
      </c>
      <c r="J481" t="str">
        <f>IFERROR(MATCH(473,'Прайс и заказ'!$N$7:$N$623,0)+6,0)</f>
      </c>
      <c r="L481" t="str">
        <f>IF($J481=0,"",IF(INDEX('Прайс и заказ'!Q:Q,$J481)="","",INDEX('Прайс и заказ'!Q:Q,$J481)))</f>
      </c>
    </row>
    <row r="482" spans="1:12" customHeight="1" ht="40">
      <c r="A482" s="13" t="str">
        <f>IF($J482=0,"",IFERROR(_xlfn.IMAGE(INDEX('Прайс и заказ'!$O:$O,$J482)),""))</f>
      </c>
      <c r="B482" s="61" t="str">
        <f>IF($J482=0,"",IF(INDEX('Прайс и заказ'!B:B,$J482)="","",INDEX('Прайс и заказ'!B:B,$J482)))</f>
      </c>
      <c r="C482" s="64" t="str">
        <f>IF($J482=0,"",IF(INDEX('Прайс и заказ'!C:C,$J482)="","",INDEX('Прайс и заказ'!C:C,$J482)))</f>
      </c>
      <c r="D482" s="64" t="str">
        <f>IF($J482=0,"",IF(INDEX('Прайс и заказ'!D:D,$J482)="","",INDEX('Прайс и заказ'!D:D,$J482)))</f>
      </c>
      <c r="E482" s="61" t="str">
        <f>IF($J482=0,"",IF(INDEX('Прайс и заказ'!F:F,$J482)="","",INDEX('Прайс и заказ'!F:F,$J482)))</f>
      </c>
      <c r="F482" s="62" t="str">
        <f>IF($J482=0,"",IF(INDEX('Прайс и заказ'!I:I,$J482)="","",INDEX('Прайс и заказ'!I:I,$J482)))</f>
      </c>
      <c r="G482" s="63" t="str">
        <f>IF($J482=0,"",IF(INDEX('Прайс и заказ'!K:K,$J482)="","",INDEX('Прайс и заказ'!K:K,$J482)))</f>
      </c>
      <c r="H482" s="62" t="str">
        <f>IF($J482=0,"",IF(INDEX('Прайс и заказ'!L:L,$J482)="","",INDEX('Прайс и заказ'!L:L,$J482)))</f>
      </c>
      <c r="I482" s="13" t="str">
        <f>IF($J482=0,"",IF(INDEX('Прайс и заказ'!M:M,$J482)="","",INDEX('Прайс и заказ'!M:M,$J482)))</f>
      </c>
      <c r="J482" t="str">
        <f>IFERROR(MATCH(474,'Прайс и заказ'!$N$7:$N$623,0)+6,0)</f>
      </c>
      <c r="L482" t="str">
        <f>IF($J482=0,"",IF(INDEX('Прайс и заказ'!Q:Q,$J482)="","",INDEX('Прайс и заказ'!Q:Q,$J482)))</f>
      </c>
    </row>
    <row r="483" spans="1:12" customHeight="1" ht="40">
      <c r="A483" s="13" t="str">
        <f>IF($J483=0,"",IFERROR(_xlfn.IMAGE(INDEX('Прайс и заказ'!$O:$O,$J483)),""))</f>
      </c>
      <c r="B483" s="61" t="str">
        <f>IF($J483=0,"",IF(INDEX('Прайс и заказ'!B:B,$J483)="","",INDEX('Прайс и заказ'!B:B,$J483)))</f>
      </c>
      <c r="C483" s="64" t="str">
        <f>IF($J483=0,"",IF(INDEX('Прайс и заказ'!C:C,$J483)="","",INDEX('Прайс и заказ'!C:C,$J483)))</f>
      </c>
      <c r="D483" s="64" t="str">
        <f>IF($J483=0,"",IF(INDEX('Прайс и заказ'!D:D,$J483)="","",INDEX('Прайс и заказ'!D:D,$J483)))</f>
      </c>
      <c r="E483" s="61" t="str">
        <f>IF($J483=0,"",IF(INDEX('Прайс и заказ'!F:F,$J483)="","",INDEX('Прайс и заказ'!F:F,$J483)))</f>
      </c>
      <c r="F483" s="62" t="str">
        <f>IF($J483=0,"",IF(INDEX('Прайс и заказ'!I:I,$J483)="","",INDEX('Прайс и заказ'!I:I,$J483)))</f>
      </c>
      <c r="G483" s="63" t="str">
        <f>IF($J483=0,"",IF(INDEX('Прайс и заказ'!K:K,$J483)="","",INDEX('Прайс и заказ'!K:K,$J483)))</f>
      </c>
      <c r="H483" s="62" t="str">
        <f>IF($J483=0,"",IF(INDEX('Прайс и заказ'!L:L,$J483)="","",INDEX('Прайс и заказ'!L:L,$J483)))</f>
      </c>
      <c r="I483" s="13" t="str">
        <f>IF($J483=0,"",IF(INDEX('Прайс и заказ'!M:M,$J483)="","",INDEX('Прайс и заказ'!M:M,$J483)))</f>
      </c>
      <c r="J483" t="str">
        <f>IFERROR(MATCH(475,'Прайс и заказ'!$N$7:$N$623,0)+6,0)</f>
      </c>
      <c r="L483" t="str">
        <f>IF($J483=0,"",IF(INDEX('Прайс и заказ'!Q:Q,$J483)="","",INDEX('Прайс и заказ'!Q:Q,$J483)))</f>
      </c>
    </row>
    <row r="484" spans="1:12" customHeight="1" ht="40">
      <c r="A484" s="13" t="str">
        <f>IF($J484=0,"",IFERROR(_xlfn.IMAGE(INDEX('Прайс и заказ'!$O:$O,$J484)),""))</f>
      </c>
      <c r="B484" s="61" t="str">
        <f>IF($J484=0,"",IF(INDEX('Прайс и заказ'!B:B,$J484)="","",INDEX('Прайс и заказ'!B:B,$J484)))</f>
      </c>
      <c r="C484" s="64" t="str">
        <f>IF($J484=0,"",IF(INDEX('Прайс и заказ'!C:C,$J484)="","",INDEX('Прайс и заказ'!C:C,$J484)))</f>
      </c>
      <c r="D484" s="64" t="str">
        <f>IF($J484=0,"",IF(INDEX('Прайс и заказ'!D:D,$J484)="","",INDEX('Прайс и заказ'!D:D,$J484)))</f>
      </c>
      <c r="E484" s="61" t="str">
        <f>IF($J484=0,"",IF(INDEX('Прайс и заказ'!F:F,$J484)="","",INDEX('Прайс и заказ'!F:F,$J484)))</f>
      </c>
      <c r="F484" s="62" t="str">
        <f>IF($J484=0,"",IF(INDEX('Прайс и заказ'!I:I,$J484)="","",INDEX('Прайс и заказ'!I:I,$J484)))</f>
      </c>
      <c r="G484" s="63" t="str">
        <f>IF($J484=0,"",IF(INDEX('Прайс и заказ'!K:K,$J484)="","",INDEX('Прайс и заказ'!K:K,$J484)))</f>
      </c>
      <c r="H484" s="62" t="str">
        <f>IF($J484=0,"",IF(INDEX('Прайс и заказ'!L:L,$J484)="","",INDEX('Прайс и заказ'!L:L,$J484)))</f>
      </c>
      <c r="I484" s="13" t="str">
        <f>IF($J484=0,"",IF(INDEX('Прайс и заказ'!M:M,$J484)="","",INDEX('Прайс и заказ'!M:M,$J484)))</f>
      </c>
      <c r="J484" t="str">
        <f>IFERROR(MATCH(476,'Прайс и заказ'!$N$7:$N$623,0)+6,0)</f>
      </c>
      <c r="L484" t="str">
        <f>IF($J484=0,"",IF(INDEX('Прайс и заказ'!Q:Q,$J484)="","",INDEX('Прайс и заказ'!Q:Q,$J484)))</f>
      </c>
    </row>
    <row r="485" spans="1:12" customHeight="1" ht="40">
      <c r="A485" s="13" t="str">
        <f>IF($J485=0,"",IFERROR(_xlfn.IMAGE(INDEX('Прайс и заказ'!$O:$O,$J485)),""))</f>
      </c>
      <c r="B485" s="61" t="str">
        <f>IF($J485=0,"",IF(INDEX('Прайс и заказ'!B:B,$J485)="","",INDEX('Прайс и заказ'!B:B,$J485)))</f>
      </c>
      <c r="C485" s="64" t="str">
        <f>IF($J485=0,"",IF(INDEX('Прайс и заказ'!C:C,$J485)="","",INDEX('Прайс и заказ'!C:C,$J485)))</f>
      </c>
      <c r="D485" s="64" t="str">
        <f>IF($J485=0,"",IF(INDEX('Прайс и заказ'!D:D,$J485)="","",INDEX('Прайс и заказ'!D:D,$J485)))</f>
      </c>
      <c r="E485" s="61" t="str">
        <f>IF($J485=0,"",IF(INDEX('Прайс и заказ'!F:F,$J485)="","",INDEX('Прайс и заказ'!F:F,$J485)))</f>
      </c>
      <c r="F485" s="62" t="str">
        <f>IF($J485=0,"",IF(INDEX('Прайс и заказ'!I:I,$J485)="","",INDEX('Прайс и заказ'!I:I,$J485)))</f>
      </c>
      <c r="G485" s="63" t="str">
        <f>IF($J485=0,"",IF(INDEX('Прайс и заказ'!K:K,$J485)="","",INDEX('Прайс и заказ'!K:K,$J485)))</f>
      </c>
      <c r="H485" s="62" t="str">
        <f>IF($J485=0,"",IF(INDEX('Прайс и заказ'!L:L,$J485)="","",INDEX('Прайс и заказ'!L:L,$J485)))</f>
      </c>
      <c r="I485" s="13" t="str">
        <f>IF($J485=0,"",IF(INDEX('Прайс и заказ'!M:M,$J485)="","",INDEX('Прайс и заказ'!M:M,$J485)))</f>
      </c>
      <c r="J485" t="str">
        <f>IFERROR(MATCH(477,'Прайс и заказ'!$N$7:$N$623,0)+6,0)</f>
      </c>
      <c r="L485" t="str">
        <f>IF($J485=0,"",IF(INDEX('Прайс и заказ'!Q:Q,$J485)="","",INDEX('Прайс и заказ'!Q:Q,$J485)))</f>
      </c>
    </row>
    <row r="486" spans="1:12" customHeight="1" ht="40">
      <c r="A486" s="13" t="str">
        <f>IF($J486=0,"",IFERROR(_xlfn.IMAGE(INDEX('Прайс и заказ'!$O:$O,$J486)),""))</f>
      </c>
      <c r="B486" s="61" t="str">
        <f>IF($J486=0,"",IF(INDEX('Прайс и заказ'!B:B,$J486)="","",INDEX('Прайс и заказ'!B:B,$J486)))</f>
      </c>
      <c r="C486" s="64" t="str">
        <f>IF($J486=0,"",IF(INDEX('Прайс и заказ'!C:C,$J486)="","",INDEX('Прайс и заказ'!C:C,$J486)))</f>
      </c>
      <c r="D486" s="64" t="str">
        <f>IF($J486=0,"",IF(INDEX('Прайс и заказ'!D:D,$J486)="","",INDEX('Прайс и заказ'!D:D,$J486)))</f>
      </c>
      <c r="E486" s="61" t="str">
        <f>IF($J486=0,"",IF(INDEX('Прайс и заказ'!F:F,$J486)="","",INDEX('Прайс и заказ'!F:F,$J486)))</f>
      </c>
      <c r="F486" s="62" t="str">
        <f>IF($J486=0,"",IF(INDEX('Прайс и заказ'!I:I,$J486)="","",INDEX('Прайс и заказ'!I:I,$J486)))</f>
      </c>
      <c r="G486" s="63" t="str">
        <f>IF($J486=0,"",IF(INDEX('Прайс и заказ'!K:K,$J486)="","",INDEX('Прайс и заказ'!K:K,$J486)))</f>
      </c>
      <c r="H486" s="62" t="str">
        <f>IF($J486=0,"",IF(INDEX('Прайс и заказ'!L:L,$J486)="","",INDEX('Прайс и заказ'!L:L,$J486)))</f>
      </c>
      <c r="I486" s="13" t="str">
        <f>IF($J486=0,"",IF(INDEX('Прайс и заказ'!M:M,$J486)="","",INDEX('Прайс и заказ'!M:M,$J486)))</f>
      </c>
      <c r="J486" t="str">
        <f>IFERROR(MATCH(478,'Прайс и заказ'!$N$7:$N$623,0)+6,0)</f>
      </c>
      <c r="L486" t="str">
        <f>IF($J486=0,"",IF(INDEX('Прайс и заказ'!Q:Q,$J486)="","",INDEX('Прайс и заказ'!Q:Q,$J486)))</f>
      </c>
    </row>
    <row r="487" spans="1:12" customHeight="1" ht="40">
      <c r="A487" s="13" t="str">
        <f>IF($J487=0,"",IFERROR(_xlfn.IMAGE(INDEX('Прайс и заказ'!$O:$O,$J487)),""))</f>
      </c>
      <c r="B487" s="61" t="str">
        <f>IF($J487=0,"",IF(INDEX('Прайс и заказ'!B:B,$J487)="","",INDEX('Прайс и заказ'!B:B,$J487)))</f>
      </c>
      <c r="C487" s="64" t="str">
        <f>IF($J487=0,"",IF(INDEX('Прайс и заказ'!C:C,$J487)="","",INDEX('Прайс и заказ'!C:C,$J487)))</f>
      </c>
      <c r="D487" s="64" t="str">
        <f>IF($J487=0,"",IF(INDEX('Прайс и заказ'!D:D,$J487)="","",INDEX('Прайс и заказ'!D:D,$J487)))</f>
      </c>
      <c r="E487" s="61" t="str">
        <f>IF($J487=0,"",IF(INDEX('Прайс и заказ'!F:F,$J487)="","",INDEX('Прайс и заказ'!F:F,$J487)))</f>
      </c>
      <c r="F487" s="62" t="str">
        <f>IF($J487=0,"",IF(INDEX('Прайс и заказ'!I:I,$J487)="","",INDEX('Прайс и заказ'!I:I,$J487)))</f>
      </c>
      <c r="G487" s="63" t="str">
        <f>IF($J487=0,"",IF(INDEX('Прайс и заказ'!K:K,$J487)="","",INDEX('Прайс и заказ'!K:K,$J487)))</f>
      </c>
      <c r="H487" s="62" t="str">
        <f>IF($J487=0,"",IF(INDEX('Прайс и заказ'!L:L,$J487)="","",INDEX('Прайс и заказ'!L:L,$J487)))</f>
      </c>
      <c r="I487" s="13" t="str">
        <f>IF($J487=0,"",IF(INDEX('Прайс и заказ'!M:M,$J487)="","",INDEX('Прайс и заказ'!M:M,$J487)))</f>
      </c>
      <c r="J487" t="str">
        <f>IFERROR(MATCH(479,'Прайс и заказ'!$N$7:$N$623,0)+6,0)</f>
      </c>
      <c r="L487" t="str">
        <f>IF($J487=0,"",IF(INDEX('Прайс и заказ'!Q:Q,$J487)="","",INDEX('Прайс и заказ'!Q:Q,$J487)))</f>
      </c>
    </row>
    <row r="488" spans="1:12" customHeight="1" ht="40">
      <c r="A488" s="13" t="str">
        <f>IF($J488=0,"",IFERROR(_xlfn.IMAGE(INDEX('Прайс и заказ'!$O:$O,$J488)),""))</f>
      </c>
      <c r="B488" s="61" t="str">
        <f>IF($J488=0,"",IF(INDEX('Прайс и заказ'!B:B,$J488)="","",INDEX('Прайс и заказ'!B:B,$J488)))</f>
      </c>
      <c r="C488" s="64" t="str">
        <f>IF($J488=0,"",IF(INDEX('Прайс и заказ'!C:C,$J488)="","",INDEX('Прайс и заказ'!C:C,$J488)))</f>
      </c>
      <c r="D488" s="64" t="str">
        <f>IF($J488=0,"",IF(INDEX('Прайс и заказ'!D:D,$J488)="","",INDEX('Прайс и заказ'!D:D,$J488)))</f>
      </c>
      <c r="E488" s="61" t="str">
        <f>IF($J488=0,"",IF(INDEX('Прайс и заказ'!F:F,$J488)="","",INDEX('Прайс и заказ'!F:F,$J488)))</f>
      </c>
      <c r="F488" s="62" t="str">
        <f>IF($J488=0,"",IF(INDEX('Прайс и заказ'!I:I,$J488)="","",INDEX('Прайс и заказ'!I:I,$J488)))</f>
      </c>
      <c r="G488" s="63" t="str">
        <f>IF($J488=0,"",IF(INDEX('Прайс и заказ'!K:K,$J488)="","",INDEX('Прайс и заказ'!K:K,$J488)))</f>
      </c>
      <c r="H488" s="62" t="str">
        <f>IF($J488=0,"",IF(INDEX('Прайс и заказ'!L:L,$J488)="","",INDEX('Прайс и заказ'!L:L,$J488)))</f>
      </c>
      <c r="I488" s="13" t="str">
        <f>IF($J488=0,"",IF(INDEX('Прайс и заказ'!M:M,$J488)="","",INDEX('Прайс и заказ'!M:M,$J488)))</f>
      </c>
      <c r="J488" t="str">
        <f>IFERROR(MATCH(480,'Прайс и заказ'!$N$7:$N$623,0)+6,0)</f>
      </c>
      <c r="L488" t="str">
        <f>IF($J488=0,"",IF(INDEX('Прайс и заказ'!Q:Q,$J488)="","",INDEX('Прайс и заказ'!Q:Q,$J488)))</f>
      </c>
    </row>
    <row r="489" spans="1:12" customHeight="1" ht="40">
      <c r="A489" s="13" t="str">
        <f>IF($J489=0,"",IFERROR(_xlfn.IMAGE(INDEX('Прайс и заказ'!$O:$O,$J489)),""))</f>
      </c>
      <c r="B489" s="61" t="str">
        <f>IF($J489=0,"",IF(INDEX('Прайс и заказ'!B:B,$J489)="","",INDEX('Прайс и заказ'!B:B,$J489)))</f>
      </c>
      <c r="C489" s="64" t="str">
        <f>IF($J489=0,"",IF(INDEX('Прайс и заказ'!C:C,$J489)="","",INDEX('Прайс и заказ'!C:C,$J489)))</f>
      </c>
      <c r="D489" s="64" t="str">
        <f>IF($J489=0,"",IF(INDEX('Прайс и заказ'!D:D,$J489)="","",INDEX('Прайс и заказ'!D:D,$J489)))</f>
      </c>
      <c r="E489" s="61" t="str">
        <f>IF($J489=0,"",IF(INDEX('Прайс и заказ'!F:F,$J489)="","",INDEX('Прайс и заказ'!F:F,$J489)))</f>
      </c>
      <c r="F489" s="62" t="str">
        <f>IF($J489=0,"",IF(INDEX('Прайс и заказ'!I:I,$J489)="","",INDEX('Прайс и заказ'!I:I,$J489)))</f>
      </c>
      <c r="G489" s="63" t="str">
        <f>IF($J489=0,"",IF(INDEX('Прайс и заказ'!K:K,$J489)="","",INDEX('Прайс и заказ'!K:K,$J489)))</f>
      </c>
      <c r="H489" s="62" t="str">
        <f>IF($J489=0,"",IF(INDEX('Прайс и заказ'!L:L,$J489)="","",INDEX('Прайс и заказ'!L:L,$J489)))</f>
      </c>
      <c r="I489" s="13" t="str">
        <f>IF($J489=0,"",IF(INDEX('Прайс и заказ'!M:M,$J489)="","",INDEX('Прайс и заказ'!M:M,$J489)))</f>
      </c>
      <c r="J489" t="str">
        <f>IFERROR(MATCH(481,'Прайс и заказ'!$N$7:$N$623,0)+6,0)</f>
      </c>
      <c r="L489" t="str">
        <f>IF($J489=0,"",IF(INDEX('Прайс и заказ'!Q:Q,$J489)="","",INDEX('Прайс и заказ'!Q:Q,$J489)))</f>
      </c>
    </row>
    <row r="490" spans="1:12" customHeight="1" ht="40">
      <c r="A490" s="13" t="str">
        <f>IF($J490=0,"",IFERROR(_xlfn.IMAGE(INDEX('Прайс и заказ'!$O:$O,$J490)),""))</f>
      </c>
      <c r="B490" s="61" t="str">
        <f>IF($J490=0,"",IF(INDEX('Прайс и заказ'!B:B,$J490)="","",INDEX('Прайс и заказ'!B:B,$J490)))</f>
      </c>
      <c r="C490" s="64" t="str">
        <f>IF($J490=0,"",IF(INDEX('Прайс и заказ'!C:C,$J490)="","",INDEX('Прайс и заказ'!C:C,$J490)))</f>
      </c>
      <c r="D490" s="64" t="str">
        <f>IF($J490=0,"",IF(INDEX('Прайс и заказ'!D:D,$J490)="","",INDEX('Прайс и заказ'!D:D,$J490)))</f>
      </c>
      <c r="E490" s="61" t="str">
        <f>IF($J490=0,"",IF(INDEX('Прайс и заказ'!F:F,$J490)="","",INDEX('Прайс и заказ'!F:F,$J490)))</f>
      </c>
      <c r="F490" s="62" t="str">
        <f>IF($J490=0,"",IF(INDEX('Прайс и заказ'!I:I,$J490)="","",INDEX('Прайс и заказ'!I:I,$J490)))</f>
      </c>
      <c r="G490" s="63" t="str">
        <f>IF($J490=0,"",IF(INDEX('Прайс и заказ'!K:K,$J490)="","",INDEX('Прайс и заказ'!K:K,$J490)))</f>
      </c>
      <c r="H490" s="62" t="str">
        <f>IF($J490=0,"",IF(INDEX('Прайс и заказ'!L:L,$J490)="","",INDEX('Прайс и заказ'!L:L,$J490)))</f>
      </c>
      <c r="I490" s="13" t="str">
        <f>IF($J490=0,"",IF(INDEX('Прайс и заказ'!M:M,$J490)="","",INDEX('Прайс и заказ'!M:M,$J490)))</f>
      </c>
      <c r="J490" t="str">
        <f>IFERROR(MATCH(482,'Прайс и заказ'!$N$7:$N$623,0)+6,0)</f>
      </c>
      <c r="L490" t="str">
        <f>IF($J490=0,"",IF(INDEX('Прайс и заказ'!Q:Q,$J490)="","",INDEX('Прайс и заказ'!Q:Q,$J490)))</f>
      </c>
    </row>
    <row r="491" spans="1:12" customHeight="1" ht="40">
      <c r="A491" s="13" t="str">
        <f>IF($J491=0,"",IFERROR(_xlfn.IMAGE(INDEX('Прайс и заказ'!$O:$O,$J491)),""))</f>
      </c>
      <c r="B491" s="61" t="str">
        <f>IF($J491=0,"",IF(INDEX('Прайс и заказ'!B:B,$J491)="","",INDEX('Прайс и заказ'!B:B,$J491)))</f>
      </c>
      <c r="C491" s="64" t="str">
        <f>IF($J491=0,"",IF(INDEX('Прайс и заказ'!C:C,$J491)="","",INDEX('Прайс и заказ'!C:C,$J491)))</f>
      </c>
      <c r="D491" s="64" t="str">
        <f>IF($J491=0,"",IF(INDEX('Прайс и заказ'!D:D,$J491)="","",INDEX('Прайс и заказ'!D:D,$J491)))</f>
      </c>
      <c r="E491" s="61" t="str">
        <f>IF($J491=0,"",IF(INDEX('Прайс и заказ'!F:F,$J491)="","",INDEX('Прайс и заказ'!F:F,$J491)))</f>
      </c>
      <c r="F491" s="62" t="str">
        <f>IF($J491=0,"",IF(INDEX('Прайс и заказ'!I:I,$J491)="","",INDEX('Прайс и заказ'!I:I,$J491)))</f>
      </c>
      <c r="G491" s="63" t="str">
        <f>IF($J491=0,"",IF(INDEX('Прайс и заказ'!K:K,$J491)="","",INDEX('Прайс и заказ'!K:K,$J491)))</f>
      </c>
      <c r="H491" s="62" t="str">
        <f>IF($J491=0,"",IF(INDEX('Прайс и заказ'!L:L,$J491)="","",INDEX('Прайс и заказ'!L:L,$J491)))</f>
      </c>
      <c r="I491" s="13" t="str">
        <f>IF($J491=0,"",IF(INDEX('Прайс и заказ'!M:M,$J491)="","",INDEX('Прайс и заказ'!M:M,$J491)))</f>
      </c>
      <c r="J491" t="str">
        <f>IFERROR(MATCH(483,'Прайс и заказ'!$N$7:$N$623,0)+6,0)</f>
      </c>
      <c r="L491" t="str">
        <f>IF($J491=0,"",IF(INDEX('Прайс и заказ'!Q:Q,$J491)="","",INDEX('Прайс и заказ'!Q:Q,$J491)))</f>
      </c>
    </row>
    <row r="492" spans="1:12" customHeight="1" ht="40">
      <c r="A492" s="13" t="str">
        <f>IF($J492=0,"",IFERROR(_xlfn.IMAGE(INDEX('Прайс и заказ'!$O:$O,$J492)),""))</f>
      </c>
      <c r="B492" s="61" t="str">
        <f>IF($J492=0,"",IF(INDEX('Прайс и заказ'!B:B,$J492)="","",INDEX('Прайс и заказ'!B:B,$J492)))</f>
      </c>
      <c r="C492" s="64" t="str">
        <f>IF($J492=0,"",IF(INDEX('Прайс и заказ'!C:C,$J492)="","",INDEX('Прайс и заказ'!C:C,$J492)))</f>
      </c>
      <c r="D492" s="64" t="str">
        <f>IF($J492=0,"",IF(INDEX('Прайс и заказ'!D:D,$J492)="","",INDEX('Прайс и заказ'!D:D,$J492)))</f>
      </c>
      <c r="E492" s="61" t="str">
        <f>IF($J492=0,"",IF(INDEX('Прайс и заказ'!F:F,$J492)="","",INDEX('Прайс и заказ'!F:F,$J492)))</f>
      </c>
      <c r="F492" s="62" t="str">
        <f>IF($J492=0,"",IF(INDEX('Прайс и заказ'!I:I,$J492)="","",INDEX('Прайс и заказ'!I:I,$J492)))</f>
      </c>
      <c r="G492" s="63" t="str">
        <f>IF($J492=0,"",IF(INDEX('Прайс и заказ'!K:K,$J492)="","",INDEX('Прайс и заказ'!K:K,$J492)))</f>
      </c>
      <c r="H492" s="62" t="str">
        <f>IF($J492=0,"",IF(INDEX('Прайс и заказ'!L:L,$J492)="","",INDEX('Прайс и заказ'!L:L,$J492)))</f>
      </c>
      <c r="I492" s="13" t="str">
        <f>IF($J492=0,"",IF(INDEX('Прайс и заказ'!M:M,$J492)="","",INDEX('Прайс и заказ'!M:M,$J492)))</f>
      </c>
      <c r="J492" t="str">
        <f>IFERROR(MATCH(484,'Прайс и заказ'!$N$7:$N$623,0)+6,0)</f>
      </c>
      <c r="L492" t="str">
        <f>IF($J492=0,"",IF(INDEX('Прайс и заказ'!Q:Q,$J492)="","",INDEX('Прайс и заказ'!Q:Q,$J492)))</f>
      </c>
    </row>
    <row r="493" spans="1:12" customHeight="1" ht="40">
      <c r="A493" s="13" t="str">
        <f>IF($J493=0,"",IFERROR(_xlfn.IMAGE(INDEX('Прайс и заказ'!$O:$O,$J493)),""))</f>
      </c>
      <c r="B493" s="61" t="str">
        <f>IF($J493=0,"",IF(INDEX('Прайс и заказ'!B:B,$J493)="","",INDEX('Прайс и заказ'!B:B,$J493)))</f>
      </c>
      <c r="C493" s="64" t="str">
        <f>IF($J493=0,"",IF(INDEX('Прайс и заказ'!C:C,$J493)="","",INDEX('Прайс и заказ'!C:C,$J493)))</f>
      </c>
      <c r="D493" s="64" t="str">
        <f>IF($J493=0,"",IF(INDEX('Прайс и заказ'!D:D,$J493)="","",INDEX('Прайс и заказ'!D:D,$J493)))</f>
      </c>
      <c r="E493" s="61" t="str">
        <f>IF($J493=0,"",IF(INDEX('Прайс и заказ'!F:F,$J493)="","",INDEX('Прайс и заказ'!F:F,$J493)))</f>
      </c>
      <c r="F493" s="62" t="str">
        <f>IF($J493=0,"",IF(INDEX('Прайс и заказ'!I:I,$J493)="","",INDEX('Прайс и заказ'!I:I,$J493)))</f>
      </c>
      <c r="G493" s="63" t="str">
        <f>IF($J493=0,"",IF(INDEX('Прайс и заказ'!K:K,$J493)="","",INDEX('Прайс и заказ'!K:K,$J493)))</f>
      </c>
      <c r="H493" s="62" t="str">
        <f>IF($J493=0,"",IF(INDEX('Прайс и заказ'!L:L,$J493)="","",INDEX('Прайс и заказ'!L:L,$J493)))</f>
      </c>
      <c r="I493" s="13" t="str">
        <f>IF($J493=0,"",IF(INDEX('Прайс и заказ'!M:M,$J493)="","",INDEX('Прайс и заказ'!M:M,$J493)))</f>
      </c>
      <c r="J493" t="str">
        <f>IFERROR(MATCH(485,'Прайс и заказ'!$N$7:$N$623,0)+6,0)</f>
      </c>
      <c r="L493" t="str">
        <f>IF($J493=0,"",IF(INDEX('Прайс и заказ'!Q:Q,$J493)="","",INDEX('Прайс и заказ'!Q:Q,$J493)))</f>
      </c>
    </row>
    <row r="494" spans="1:12" customHeight="1" ht="40">
      <c r="A494" s="13" t="str">
        <f>IF($J494=0,"",IFERROR(_xlfn.IMAGE(INDEX('Прайс и заказ'!$O:$O,$J494)),""))</f>
      </c>
      <c r="B494" s="61" t="str">
        <f>IF($J494=0,"",IF(INDEX('Прайс и заказ'!B:B,$J494)="","",INDEX('Прайс и заказ'!B:B,$J494)))</f>
      </c>
      <c r="C494" s="64" t="str">
        <f>IF($J494=0,"",IF(INDEX('Прайс и заказ'!C:C,$J494)="","",INDEX('Прайс и заказ'!C:C,$J494)))</f>
      </c>
      <c r="D494" s="64" t="str">
        <f>IF($J494=0,"",IF(INDEX('Прайс и заказ'!D:D,$J494)="","",INDEX('Прайс и заказ'!D:D,$J494)))</f>
      </c>
      <c r="E494" s="61" t="str">
        <f>IF($J494=0,"",IF(INDEX('Прайс и заказ'!F:F,$J494)="","",INDEX('Прайс и заказ'!F:F,$J494)))</f>
      </c>
      <c r="F494" s="62" t="str">
        <f>IF($J494=0,"",IF(INDEX('Прайс и заказ'!I:I,$J494)="","",INDEX('Прайс и заказ'!I:I,$J494)))</f>
      </c>
      <c r="G494" s="63" t="str">
        <f>IF($J494=0,"",IF(INDEX('Прайс и заказ'!K:K,$J494)="","",INDEX('Прайс и заказ'!K:K,$J494)))</f>
      </c>
      <c r="H494" s="62" t="str">
        <f>IF($J494=0,"",IF(INDEX('Прайс и заказ'!L:L,$J494)="","",INDEX('Прайс и заказ'!L:L,$J494)))</f>
      </c>
      <c r="I494" s="13" t="str">
        <f>IF($J494=0,"",IF(INDEX('Прайс и заказ'!M:M,$J494)="","",INDEX('Прайс и заказ'!M:M,$J494)))</f>
      </c>
      <c r="J494" t="str">
        <f>IFERROR(MATCH(486,'Прайс и заказ'!$N$7:$N$623,0)+6,0)</f>
      </c>
      <c r="L494" t="str">
        <f>IF($J494=0,"",IF(INDEX('Прайс и заказ'!Q:Q,$J494)="","",INDEX('Прайс и заказ'!Q:Q,$J494)))</f>
      </c>
    </row>
    <row r="495" spans="1:12" customHeight="1" ht="40">
      <c r="A495" s="13" t="str">
        <f>IF($J495=0,"",IFERROR(_xlfn.IMAGE(INDEX('Прайс и заказ'!$O:$O,$J495)),""))</f>
      </c>
      <c r="B495" s="61" t="str">
        <f>IF($J495=0,"",IF(INDEX('Прайс и заказ'!B:B,$J495)="","",INDEX('Прайс и заказ'!B:B,$J495)))</f>
      </c>
      <c r="C495" s="64" t="str">
        <f>IF($J495=0,"",IF(INDEX('Прайс и заказ'!C:C,$J495)="","",INDEX('Прайс и заказ'!C:C,$J495)))</f>
      </c>
      <c r="D495" s="64" t="str">
        <f>IF($J495=0,"",IF(INDEX('Прайс и заказ'!D:D,$J495)="","",INDEX('Прайс и заказ'!D:D,$J495)))</f>
      </c>
      <c r="E495" s="61" t="str">
        <f>IF($J495=0,"",IF(INDEX('Прайс и заказ'!F:F,$J495)="","",INDEX('Прайс и заказ'!F:F,$J495)))</f>
      </c>
      <c r="F495" s="62" t="str">
        <f>IF($J495=0,"",IF(INDEX('Прайс и заказ'!I:I,$J495)="","",INDEX('Прайс и заказ'!I:I,$J495)))</f>
      </c>
      <c r="G495" s="63" t="str">
        <f>IF($J495=0,"",IF(INDEX('Прайс и заказ'!K:K,$J495)="","",INDEX('Прайс и заказ'!K:K,$J495)))</f>
      </c>
      <c r="H495" s="62" t="str">
        <f>IF($J495=0,"",IF(INDEX('Прайс и заказ'!L:L,$J495)="","",INDEX('Прайс и заказ'!L:L,$J495)))</f>
      </c>
      <c r="I495" s="13" t="str">
        <f>IF($J495=0,"",IF(INDEX('Прайс и заказ'!M:M,$J495)="","",INDEX('Прайс и заказ'!M:M,$J495)))</f>
      </c>
      <c r="J495" t="str">
        <f>IFERROR(MATCH(487,'Прайс и заказ'!$N$7:$N$623,0)+6,0)</f>
      </c>
      <c r="L495" t="str">
        <f>IF($J495=0,"",IF(INDEX('Прайс и заказ'!Q:Q,$J495)="","",INDEX('Прайс и заказ'!Q:Q,$J495)))</f>
      </c>
    </row>
    <row r="496" spans="1:12" customHeight="1" ht="40">
      <c r="A496" s="13" t="str">
        <f>IF($J496=0,"",IFERROR(_xlfn.IMAGE(INDEX('Прайс и заказ'!$O:$O,$J496)),""))</f>
      </c>
      <c r="B496" s="61" t="str">
        <f>IF($J496=0,"",IF(INDEX('Прайс и заказ'!B:B,$J496)="","",INDEX('Прайс и заказ'!B:B,$J496)))</f>
      </c>
      <c r="C496" s="64" t="str">
        <f>IF($J496=0,"",IF(INDEX('Прайс и заказ'!C:C,$J496)="","",INDEX('Прайс и заказ'!C:C,$J496)))</f>
      </c>
      <c r="D496" s="64" t="str">
        <f>IF($J496=0,"",IF(INDEX('Прайс и заказ'!D:D,$J496)="","",INDEX('Прайс и заказ'!D:D,$J496)))</f>
      </c>
      <c r="E496" s="61" t="str">
        <f>IF($J496=0,"",IF(INDEX('Прайс и заказ'!F:F,$J496)="","",INDEX('Прайс и заказ'!F:F,$J496)))</f>
      </c>
      <c r="F496" s="62" t="str">
        <f>IF($J496=0,"",IF(INDEX('Прайс и заказ'!I:I,$J496)="","",INDEX('Прайс и заказ'!I:I,$J496)))</f>
      </c>
      <c r="G496" s="63" t="str">
        <f>IF($J496=0,"",IF(INDEX('Прайс и заказ'!K:K,$J496)="","",INDEX('Прайс и заказ'!K:K,$J496)))</f>
      </c>
      <c r="H496" s="62" t="str">
        <f>IF($J496=0,"",IF(INDEX('Прайс и заказ'!L:L,$J496)="","",INDEX('Прайс и заказ'!L:L,$J496)))</f>
      </c>
      <c r="I496" s="13" t="str">
        <f>IF($J496=0,"",IF(INDEX('Прайс и заказ'!M:M,$J496)="","",INDEX('Прайс и заказ'!M:M,$J496)))</f>
      </c>
      <c r="J496" t="str">
        <f>IFERROR(MATCH(488,'Прайс и заказ'!$N$7:$N$623,0)+6,0)</f>
      </c>
      <c r="L496" t="str">
        <f>IF($J496=0,"",IF(INDEX('Прайс и заказ'!Q:Q,$J496)="","",INDEX('Прайс и заказ'!Q:Q,$J496)))</f>
      </c>
    </row>
    <row r="497" spans="1:12" customHeight="1" ht="40">
      <c r="A497" s="13" t="str">
        <f>IF($J497=0,"",IFERROR(_xlfn.IMAGE(INDEX('Прайс и заказ'!$O:$O,$J497)),""))</f>
      </c>
      <c r="B497" s="61" t="str">
        <f>IF($J497=0,"",IF(INDEX('Прайс и заказ'!B:B,$J497)="","",INDEX('Прайс и заказ'!B:B,$J497)))</f>
      </c>
      <c r="C497" s="64" t="str">
        <f>IF($J497=0,"",IF(INDEX('Прайс и заказ'!C:C,$J497)="","",INDEX('Прайс и заказ'!C:C,$J497)))</f>
      </c>
      <c r="D497" s="64" t="str">
        <f>IF($J497=0,"",IF(INDEX('Прайс и заказ'!D:D,$J497)="","",INDEX('Прайс и заказ'!D:D,$J497)))</f>
      </c>
      <c r="E497" s="61" t="str">
        <f>IF($J497=0,"",IF(INDEX('Прайс и заказ'!F:F,$J497)="","",INDEX('Прайс и заказ'!F:F,$J497)))</f>
      </c>
      <c r="F497" s="62" t="str">
        <f>IF($J497=0,"",IF(INDEX('Прайс и заказ'!I:I,$J497)="","",INDEX('Прайс и заказ'!I:I,$J497)))</f>
      </c>
      <c r="G497" s="63" t="str">
        <f>IF($J497=0,"",IF(INDEX('Прайс и заказ'!K:K,$J497)="","",INDEX('Прайс и заказ'!K:K,$J497)))</f>
      </c>
      <c r="H497" s="62" t="str">
        <f>IF($J497=0,"",IF(INDEX('Прайс и заказ'!L:L,$J497)="","",INDEX('Прайс и заказ'!L:L,$J497)))</f>
      </c>
      <c r="I497" s="13" t="str">
        <f>IF($J497=0,"",IF(INDEX('Прайс и заказ'!M:M,$J497)="","",INDEX('Прайс и заказ'!M:M,$J497)))</f>
      </c>
      <c r="J497" t="str">
        <f>IFERROR(MATCH(489,'Прайс и заказ'!$N$7:$N$623,0)+6,0)</f>
      </c>
      <c r="L497" t="str">
        <f>IF($J497=0,"",IF(INDEX('Прайс и заказ'!Q:Q,$J497)="","",INDEX('Прайс и заказ'!Q:Q,$J497)))</f>
      </c>
    </row>
    <row r="498" spans="1:12" customHeight="1" ht="40">
      <c r="A498" s="13" t="str">
        <f>IF($J498=0,"",IFERROR(_xlfn.IMAGE(INDEX('Прайс и заказ'!$O:$O,$J498)),""))</f>
      </c>
      <c r="B498" s="61" t="str">
        <f>IF($J498=0,"",IF(INDEX('Прайс и заказ'!B:B,$J498)="","",INDEX('Прайс и заказ'!B:B,$J498)))</f>
      </c>
      <c r="C498" s="64" t="str">
        <f>IF($J498=0,"",IF(INDEX('Прайс и заказ'!C:C,$J498)="","",INDEX('Прайс и заказ'!C:C,$J498)))</f>
      </c>
      <c r="D498" s="64" t="str">
        <f>IF($J498=0,"",IF(INDEX('Прайс и заказ'!D:D,$J498)="","",INDEX('Прайс и заказ'!D:D,$J498)))</f>
      </c>
      <c r="E498" s="61" t="str">
        <f>IF($J498=0,"",IF(INDEX('Прайс и заказ'!F:F,$J498)="","",INDEX('Прайс и заказ'!F:F,$J498)))</f>
      </c>
      <c r="F498" s="62" t="str">
        <f>IF($J498=0,"",IF(INDEX('Прайс и заказ'!I:I,$J498)="","",INDEX('Прайс и заказ'!I:I,$J498)))</f>
      </c>
      <c r="G498" s="63" t="str">
        <f>IF($J498=0,"",IF(INDEX('Прайс и заказ'!K:K,$J498)="","",INDEX('Прайс и заказ'!K:K,$J498)))</f>
      </c>
      <c r="H498" s="62" t="str">
        <f>IF($J498=0,"",IF(INDEX('Прайс и заказ'!L:L,$J498)="","",INDEX('Прайс и заказ'!L:L,$J498)))</f>
      </c>
      <c r="I498" s="13" t="str">
        <f>IF($J498=0,"",IF(INDEX('Прайс и заказ'!M:M,$J498)="","",INDEX('Прайс и заказ'!M:M,$J498)))</f>
      </c>
      <c r="J498" t="str">
        <f>IFERROR(MATCH(490,'Прайс и заказ'!$N$7:$N$623,0)+6,0)</f>
      </c>
      <c r="L498" t="str">
        <f>IF($J498=0,"",IF(INDEX('Прайс и заказ'!Q:Q,$J498)="","",INDEX('Прайс и заказ'!Q:Q,$J498)))</f>
      </c>
    </row>
    <row r="499" spans="1:12" customHeight="1" ht="40">
      <c r="A499" s="13" t="str">
        <f>IF($J499=0,"",IFERROR(_xlfn.IMAGE(INDEX('Прайс и заказ'!$O:$O,$J499)),""))</f>
      </c>
      <c r="B499" s="61" t="str">
        <f>IF($J499=0,"",IF(INDEX('Прайс и заказ'!B:B,$J499)="","",INDEX('Прайс и заказ'!B:B,$J499)))</f>
      </c>
      <c r="C499" s="64" t="str">
        <f>IF($J499=0,"",IF(INDEX('Прайс и заказ'!C:C,$J499)="","",INDEX('Прайс и заказ'!C:C,$J499)))</f>
      </c>
      <c r="D499" s="64" t="str">
        <f>IF($J499=0,"",IF(INDEX('Прайс и заказ'!D:D,$J499)="","",INDEX('Прайс и заказ'!D:D,$J499)))</f>
      </c>
      <c r="E499" s="61" t="str">
        <f>IF($J499=0,"",IF(INDEX('Прайс и заказ'!F:F,$J499)="","",INDEX('Прайс и заказ'!F:F,$J499)))</f>
      </c>
      <c r="F499" s="62" t="str">
        <f>IF($J499=0,"",IF(INDEX('Прайс и заказ'!I:I,$J499)="","",INDEX('Прайс и заказ'!I:I,$J499)))</f>
      </c>
      <c r="G499" s="63" t="str">
        <f>IF($J499=0,"",IF(INDEX('Прайс и заказ'!K:K,$J499)="","",INDEX('Прайс и заказ'!K:K,$J499)))</f>
      </c>
      <c r="H499" s="62" t="str">
        <f>IF($J499=0,"",IF(INDEX('Прайс и заказ'!L:L,$J499)="","",INDEX('Прайс и заказ'!L:L,$J499)))</f>
      </c>
      <c r="I499" s="13" t="str">
        <f>IF($J499=0,"",IF(INDEX('Прайс и заказ'!M:M,$J499)="","",INDEX('Прайс и заказ'!M:M,$J499)))</f>
      </c>
      <c r="J499" t="str">
        <f>IFERROR(MATCH(491,'Прайс и заказ'!$N$7:$N$623,0)+6,0)</f>
      </c>
      <c r="L499" t="str">
        <f>IF($J499=0,"",IF(INDEX('Прайс и заказ'!Q:Q,$J499)="","",INDEX('Прайс и заказ'!Q:Q,$J499)))</f>
      </c>
    </row>
    <row r="500" spans="1:12" customHeight="1" ht="40">
      <c r="A500" s="13" t="str">
        <f>IF($J500=0,"",IFERROR(_xlfn.IMAGE(INDEX('Прайс и заказ'!$O:$O,$J500)),""))</f>
      </c>
      <c r="B500" s="61" t="str">
        <f>IF($J500=0,"",IF(INDEX('Прайс и заказ'!B:B,$J500)="","",INDEX('Прайс и заказ'!B:B,$J500)))</f>
      </c>
      <c r="C500" s="64" t="str">
        <f>IF($J500=0,"",IF(INDEX('Прайс и заказ'!C:C,$J500)="","",INDEX('Прайс и заказ'!C:C,$J500)))</f>
      </c>
      <c r="D500" s="64" t="str">
        <f>IF($J500=0,"",IF(INDEX('Прайс и заказ'!D:D,$J500)="","",INDEX('Прайс и заказ'!D:D,$J500)))</f>
      </c>
      <c r="E500" s="61" t="str">
        <f>IF($J500=0,"",IF(INDEX('Прайс и заказ'!F:F,$J500)="","",INDEX('Прайс и заказ'!F:F,$J500)))</f>
      </c>
      <c r="F500" s="62" t="str">
        <f>IF($J500=0,"",IF(INDEX('Прайс и заказ'!I:I,$J500)="","",INDEX('Прайс и заказ'!I:I,$J500)))</f>
      </c>
      <c r="G500" s="63" t="str">
        <f>IF($J500=0,"",IF(INDEX('Прайс и заказ'!K:K,$J500)="","",INDEX('Прайс и заказ'!K:K,$J500)))</f>
      </c>
      <c r="H500" s="62" t="str">
        <f>IF($J500=0,"",IF(INDEX('Прайс и заказ'!L:L,$J500)="","",INDEX('Прайс и заказ'!L:L,$J500)))</f>
      </c>
      <c r="I500" s="13" t="str">
        <f>IF($J500=0,"",IF(INDEX('Прайс и заказ'!M:M,$J500)="","",INDEX('Прайс и заказ'!M:M,$J500)))</f>
      </c>
      <c r="J500" t="str">
        <f>IFERROR(MATCH(492,'Прайс и заказ'!$N$7:$N$623,0)+6,0)</f>
      </c>
      <c r="L500" t="str">
        <f>IF($J500=0,"",IF(INDEX('Прайс и заказ'!Q:Q,$J500)="","",INDEX('Прайс и заказ'!Q:Q,$J500)))</f>
      </c>
    </row>
    <row r="501" spans="1:12" customHeight="1" ht="40">
      <c r="A501" s="13" t="str">
        <f>IF($J501=0,"",IFERROR(_xlfn.IMAGE(INDEX('Прайс и заказ'!$O:$O,$J501)),""))</f>
      </c>
      <c r="B501" s="61" t="str">
        <f>IF($J501=0,"",IF(INDEX('Прайс и заказ'!B:B,$J501)="","",INDEX('Прайс и заказ'!B:B,$J501)))</f>
      </c>
      <c r="C501" s="64" t="str">
        <f>IF($J501=0,"",IF(INDEX('Прайс и заказ'!C:C,$J501)="","",INDEX('Прайс и заказ'!C:C,$J501)))</f>
      </c>
      <c r="D501" s="64" t="str">
        <f>IF($J501=0,"",IF(INDEX('Прайс и заказ'!D:D,$J501)="","",INDEX('Прайс и заказ'!D:D,$J501)))</f>
      </c>
      <c r="E501" s="61" t="str">
        <f>IF($J501=0,"",IF(INDEX('Прайс и заказ'!F:F,$J501)="","",INDEX('Прайс и заказ'!F:F,$J501)))</f>
      </c>
      <c r="F501" s="62" t="str">
        <f>IF($J501=0,"",IF(INDEX('Прайс и заказ'!I:I,$J501)="","",INDEX('Прайс и заказ'!I:I,$J501)))</f>
      </c>
      <c r="G501" s="63" t="str">
        <f>IF($J501=0,"",IF(INDEX('Прайс и заказ'!K:K,$J501)="","",INDEX('Прайс и заказ'!K:K,$J501)))</f>
      </c>
      <c r="H501" s="62" t="str">
        <f>IF($J501=0,"",IF(INDEX('Прайс и заказ'!L:L,$J501)="","",INDEX('Прайс и заказ'!L:L,$J501)))</f>
      </c>
      <c r="I501" s="13" t="str">
        <f>IF($J501=0,"",IF(INDEX('Прайс и заказ'!M:M,$J501)="","",INDEX('Прайс и заказ'!M:M,$J501)))</f>
      </c>
      <c r="J501" t="str">
        <f>IFERROR(MATCH(493,'Прайс и заказ'!$N$7:$N$623,0)+6,0)</f>
      </c>
      <c r="L501" t="str">
        <f>IF($J501=0,"",IF(INDEX('Прайс и заказ'!Q:Q,$J501)="","",INDEX('Прайс и заказ'!Q:Q,$J501)))</f>
      </c>
    </row>
    <row r="502" spans="1:12" customHeight="1" ht="40">
      <c r="A502" s="13" t="str">
        <f>IF($J502=0,"",IFERROR(_xlfn.IMAGE(INDEX('Прайс и заказ'!$O:$O,$J502)),""))</f>
      </c>
      <c r="B502" s="61" t="str">
        <f>IF($J502=0,"",IF(INDEX('Прайс и заказ'!B:B,$J502)="","",INDEX('Прайс и заказ'!B:B,$J502)))</f>
      </c>
      <c r="C502" s="64" t="str">
        <f>IF($J502=0,"",IF(INDEX('Прайс и заказ'!C:C,$J502)="","",INDEX('Прайс и заказ'!C:C,$J502)))</f>
      </c>
      <c r="D502" s="64" t="str">
        <f>IF($J502=0,"",IF(INDEX('Прайс и заказ'!D:D,$J502)="","",INDEX('Прайс и заказ'!D:D,$J502)))</f>
      </c>
      <c r="E502" s="61" t="str">
        <f>IF($J502=0,"",IF(INDEX('Прайс и заказ'!F:F,$J502)="","",INDEX('Прайс и заказ'!F:F,$J502)))</f>
      </c>
      <c r="F502" s="62" t="str">
        <f>IF($J502=0,"",IF(INDEX('Прайс и заказ'!I:I,$J502)="","",INDEX('Прайс и заказ'!I:I,$J502)))</f>
      </c>
      <c r="G502" s="63" t="str">
        <f>IF($J502=0,"",IF(INDEX('Прайс и заказ'!K:K,$J502)="","",INDEX('Прайс и заказ'!K:K,$J502)))</f>
      </c>
      <c r="H502" s="62" t="str">
        <f>IF($J502=0,"",IF(INDEX('Прайс и заказ'!L:L,$J502)="","",INDEX('Прайс и заказ'!L:L,$J502)))</f>
      </c>
      <c r="I502" s="13" t="str">
        <f>IF($J502=0,"",IF(INDEX('Прайс и заказ'!M:M,$J502)="","",INDEX('Прайс и заказ'!M:M,$J502)))</f>
      </c>
      <c r="J502" t="str">
        <f>IFERROR(MATCH(494,'Прайс и заказ'!$N$7:$N$623,0)+6,0)</f>
      </c>
      <c r="L502" t="str">
        <f>IF($J502=0,"",IF(INDEX('Прайс и заказ'!Q:Q,$J502)="","",INDEX('Прайс и заказ'!Q:Q,$J502)))</f>
      </c>
    </row>
    <row r="503" spans="1:12" customHeight="1" ht="40">
      <c r="A503" s="13" t="str">
        <f>IF($J503=0,"",IFERROR(_xlfn.IMAGE(INDEX('Прайс и заказ'!$O:$O,$J503)),""))</f>
      </c>
      <c r="B503" s="61" t="str">
        <f>IF($J503=0,"",IF(INDEX('Прайс и заказ'!B:B,$J503)="","",INDEX('Прайс и заказ'!B:B,$J503)))</f>
      </c>
      <c r="C503" s="64" t="str">
        <f>IF($J503=0,"",IF(INDEX('Прайс и заказ'!C:C,$J503)="","",INDEX('Прайс и заказ'!C:C,$J503)))</f>
      </c>
      <c r="D503" s="64" t="str">
        <f>IF($J503=0,"",IF(INDEX('Прайс и заказ'!D:D,$J503)="","",INDEX('Прайс и заказ'!D:D,$J503)))</f>
      </c>
      <c r="E503" s="61" t="str">
        <f>IF($J503=0,"",IF(INDEX('Прайс и заказ'!F:F,$J503)="","",INDEX('Прайс и заказ'!F:F,$J503)))</f>
      </c>
      <c r="F503" s="62" t="str">
        <f>IF($J503=0,"",IF(INDEX('Прайс и заказ'!I:I,$J503)="","",INDEX('Прайс и заказ'!I:I,$J503)))</f>
      </c>
      <c r="G503" s="63" t="str">
        <f>IF($J503=0,"",IF(INDEX('Прайс и заказ'!K:K,$J503)="","",INDEX('Прайс и заказ'!K:K,$J503)))</f>
      </c>
      <c r="H503" s="62" t="str">
        <f>IF($J503=0,"",IF(INDEX('Прайс и заказ'!L:L,$J503)="","",INDEX('Прайс и заказ'!L:L,$J503)))</f>
      </c>
      <c r="I503" s="13" t="str">
        <f>IF($J503=0,"",IF(INDEX('Прайс и заказ'!M:M,$J503)="","",INDEX('Прайс и заказ'!M:M,$J503)))</f>
      </c>
      <c r="J503" t="str">
        <f>IFERROR(MATCH(495,'Прайс и заказ'!$N$7:$N$623,0)+6,0)</f>
      </c>
      <c r="L503" t="str">
        <f>IF($J503=0,"",IF(INDEX('Прайс и заказ'!Q:Q,$J503)="","",INDEX('Прайс и заказ'!Q:Q,$J503)))</f>
      </c>
    </row>
    <row r="504" spans="1:12" customHeight="1" ht="40">
      <c r="A504" s="13" t="str">
        <f>IF($J504=0,"",IFERROR(_xlfn.IMAGE(INDEX('Прайс и заказ'!$O:$O,$J504)),""))</f>
      </c>
      <c r="B504" s="61" t="str">
        <f>IF($J504=0,"",IF(INDEX('Прайс и заказ'!B:B,$J504)="","",INDEX('Прайс и заказ'!B:B,$J504)))</f>
      </c>
      <c r="C504" s="64" t="str">
        <f>IF($J504=0,"",IF(INDEX('Прайс и заказ'!C:C,$J504)="","",INDEX('Прайс и заказ'!C:C,$J504)))</f>
      </c>
      <c r="D504" s="64" t="str">
        <f>IF($J504=0,"",IF(INDEX('Прайс и заказ'!D:D,$J504)="","",INDEX('Прайс и заказ'!D:D,$J504)))</f>
      </c>
      <c r="E504" s="61" t="str">
        <f>IF($J504=0,"",IF(INDEX('Прайс и заказ'!F:F,$J504)="","",INDEX('Прайс и заказ'!F:F,$J504)))</f>
      </c>
      <c r="F504" s="62" t="str">
        <f>IF($J504=0,"",IF(INDEX('Прайс и заказ'!I:I,$J504)="","",INDEX('Прайс и заказ'!I:I,$J504)))</f>
      </c>
      <c r="G504" s="63" t="str">
        <f>IF($J504=0,"",IF(INDEX('Прайс и заказ'!K:K,$J504)="","",INDEX('Прайс и заказ'!K:K,$J504)))</f>
      </c>
      <c r="H504" s="62" t="str">
        <f>IF($J504=0,"",IF(INDEX('Прайс и заказ'!L:L,$J504)="","",INDEX('Прайс и заказ'!L:L,$J504)))</f>
      </c>
      <c r="I504" s="13" t="str">
        <f>IF($J504=0,"",IF(INDEX('Прайс и заказ'!M:M,$J504)="","",INDEX('Прайс и заказ'!M:M,$J504)))</f>
      </c>
      <c r="J504" t="str">
        <f>IFERROR(MATCH(496,'Прайс и заказ'!$N$7:$N$623,0)+6,0)</f>
      </c>
      <c r="L504" t="str">
        <f>IF($J504=0,"",IF(INDEX('Прайс и заказ'!Q:Q,$J504)="","",INDEX('Прайс и заказ'!Q:Q,$J504)))</f>
      </c>
    </row>
    <row r="505" spans="1:12" customHeight="1" ht="40">
      <c r="A505" s="13" t="str">
        <f>IF($J505=0,"",IFERROR(_xlfn.IMAGE(INDEX('Прайс и заказ'!$O:$O,$J505)),""))</f>
      </c>
      <c r="B505" s="61" t="str">
        <f>IF($J505=0,"",IF(INDEX('Прайс и заказ'!B:B,$J505)="","",INDEX('Прайс и заказ'!B:B,$J505)))</f>
      </c>
      <c r="C505" s="64" t="str">
        <f>IF($J505=0,"",IF(INDEX('Прайс и заказ'!C:C,$J505)="","",INDEX('Прайс и заказ'!C:C,$J505)))</f>
      </c>
      <c r="D505" s="64" t="str">
        <f>IF($J505=0,"",IF(INDEX('Прайс и заказ'!D:D,$J505)="","",INDEX('Прайс и заказ'!D:D,$J505)))</f>
      </c>
      <c r="E505" s="61" t="str">
        <f>IF($J505=0,"",IF(INDEX('Прайс и заказ'!F:F,$J505)="","",INDEX('Прайс и заказ'!F:F,$J505)))</f>
      </c>
      <c r="F505" s="62" t="str">
        <f>IF($J505=0,"",IF(INDEX('Прайс и заказ'!I:I,$J505)="","",INDEX('Прайс и заказ'!I:I,$J505)))</f>
      </c>
      <c r="G505" s="63" t="str">
        <f>IF($J505=0,"",IF(INDEX('Прайс и заказ'!K:K,$J505)="","",INDEX('Прайс и заказ'!K:K,$J505)))</f>
      </c>
      <c r="H505" s="62" t="str">
        <f>IF($J505=0,"",IF(INDEX('Прайс и заказ'!L:L,$J505)="","",INDEX('Прайс и заказ'!L:L,$J505)))</f>
      </c>
      <c r="I505" s="13" t="str">
        <f>IF($J505=0,"",IF(INDEX('Прайс и заказ'!M:M,$J505)="","",INDEX('Прайс и заказ'!M:M,$J505)))</f>
      </c>
      <c r="J505" t="str">
        <f>IFERROR(MATCH(497,'Прайс и заказ'!$N$7:$N$623,0)+6,0)</f>
      </c>
      <c r="L505" t="str">
        <f>IF($J505=0,"",IF(INDEX('Прайс и заказ'!Q:Q,$J505)="","",INDEX('Прайс и заказ'!Q:Q,$J505)))</f>
      </c>
    </row>
    <row r="506" spans="1:12" customHeight="1" ht="40">
      <c r="A506" s="13" t="str">
        <f>IF($J506=0,"",IFERROR(_xlfn.IMAGE(INDEX('Прайс и заказ'!$O:$O,$J506)),""))</f>
      </c>
      <c r="B506" s="61" t="str">
        <f>IF($J506=0,"",IF(INDEX('Прайс и заказ'!B:B,$J506)="","",INDEX('Прайс и заказ'!B:B,$J506)))</f>
      </c>
      <c r="C506" s="64" t="str">
        <f>IF($J506=0,"",IF(INDEX('Прайс и заказ'!C:C,$J506)="","",INDEX('Прайс и заказ'!C:C,$J506)))</f>
      </c>
      <c r="D506" s="64" t="str">
        <f>IF($J506=0,"",IF(INDEX('Прайс и заказ'!D:D,$J506)="","",INDEX('Прайс и заказ'!D:D,$J506)))</f>
      </c>
      <c r="E506" s="61" t="str">
        <f>IF($J506=0,"",IF(INDEX('Прайс и заказ'!F:F,$J506)="","",INDEX('Прайс и заказ'!F:F,$J506)))</f>
      </c>
      <c r="F506" s="62" t="str">
        <f>IF($J506=0,"",IF(INDEX('Прайс и заказ'!I:I,$J506)="","",INDEX('Прайс и заказ'!I:I,$J506)))</f>
      </c>
      <c r="G506" s="63" t="str">
        <f>IF($J506=0,"",IF(INDEX('Прайс и заказ'!K:K,$J506)="","",INDEX('Прайс и заказ'!K:K,$J506)))</f>
      </c>
      <c r="H506" s="62" t="str">
        <f>IF($J506=0,"",IF(INDEX('Прайс и заказ'!L:L,$J506)="","",INDEX('Прайс и заказ'!L:L,$J506)))</f>
      </c>
      <c r="I506" s="13" t="str">
        <f>IF($J506=0,"",IF(INDEX('Прайс и заказ'!M:M,$J506)="","",INDEX('Прайс и заказ'!M:M,$J506)))</f>
      </c>
      <c r="J506" t="str">
        <f>IFERROR(MATCH(498,'Прайс и заказ'!$N$7:$N$623,0)+6,0)</f>
      </c>
      <c r="L506" t="str">
        <f>IF($J506=0,"",IF(INDEX('Прайс и заказ'!Q:Q,$J506)="","",INDEX('Прайс и заказ'!Q:Q,$J506)))</f>
      </c>
    </row>
    <row r="507" spans="1:12" customHeight="1" ht="40">
      <c r="A507" s="13" t="str">
        <f>IF($J507=0,"",IFERROR(_xlfn.IMAGE(INDEX('Прайс и заказ'!$O:$O,$J507)),""))</f>
      </c>
      <c r="B507" s="61" t="str">
        <f>IF($J507=0,"",IF(INDEX('Прайс и заказ'!B:B,$J507)="","",INDEX('Прайс и заказ'!B:B,$J507)))</f>
      </c>
      <c r="C507" s="64" t="str">
        <f>IF($J507=0,"",IF(INDEX('Прайс и заказ'!C:C,$J507)="","",INDEX('Прайс и заказ'!C:C,$J507)))</f>
      </c>
      <c r="D507" s="64" t="str">
        <f>IF($J507=0,"",IF(INDEX('Прайс и заказ'!D:D,$J507)="","",INDEX('Прайс и заказ'!D:D,$J507)))</f>
      </c>
      <c r="E507" s="61" t="str">
        <f>IF($J507=0,"",IF(INDEX('Прайс и заказ'!F:F,$J507)="","",INDEX('Прайс и заказ'!F:F,$J507)))</f>
      </c>
      <c r="F507" s="62" t="str">
        <f>IF($J507=0,"",IF(INDEX('Прайс и заказ'!I:I,$J507)="","",INDEX('Прайс и заказ'!I:I,$J507)))</f>
      </c>
      <c r="G507" s="63" t="str">
        <f>IF($J507=0,"",IF(INDEX('Прайс и заказ'!K:K,$J507)="","",INDEX('Прайс и заказ'!K:K,$J507)))</f>
      </c>
      <c r="H507" s="62" t="str">
        <f>IF($J507=0,"",IF(INDEX('Прайс и заказ'!L:L,$J507)="","",INDEX('Прайс и заказ'!L:L,$J507)))</f>
      </c>
      <c r="I507" s="13" t="str">
        <f>IF($J507=0,"",IF(INDEX('Прайс и заказ'!M:M,$J507)="","",INDEX('Прайс и заказ'!M:M,$J507)))</f>
      </c>
      <c r="J507" t="str">
        <f>IFERROR(MATCH(499,'Прайс и заказ'!$N$7:$N$623,0)+6,0)</f>
      </c>
      <c r="L507" t="str">
        <f>IF($J507=0,"",IF(INDEX('Прайс и заказ'!Q:Q,$J507)="","",INDEX('Прайс и заказ'!Q:Q,$J507)))</f>
      </c>
    </row>
    <row r="508" spans="1:12" customHeight="1" ht="40">
      <c r="A508" s="13" t="str">
        <f>IF($J508=0,"",IFERROR(_xlfn.IMAGE(INDEX('Прайс и заказ'!$O:$O,$J508)),""))</f>
      </c>
      <c r="B508" s="61" t="str">
        <f>IF($J508=0,"",IF(INDEX('Прайс и заказ'!B:B,$J508)="","",INDEX('Прайс и заказ'!B:B,$J508)))</f>
      </c>
      <c r="C508" s="64" t="str">
        <f>IF($J508=0,"",IF(INDEX('Прайс и заказ'!C:C,$J508)="","",INDEX('Прайс и заказ'!C:C,$J508)))</f>
      </c>
      <c r="D508" s="64" t="str">
        <f>IF($J508=0,"",IF(INDEX('Прайс и заказ'!D:D,$J508)="","",INDEX('Прайс и заказ'!D:D,$J508)))</f>
      </c>
      <c r="E508" s="61" t="str">
        <f>IF($J508=0,"",IF(INDEX('Прайс и заказ'!F:F,$J508)="","",INDEX('Прайс и заказ'!F:F,$J508)))</f>
      </c>
      <c r="F508" s="62" t="str">
        <f>IF($J508=0,"",IF(INDEX('Прайс и заказ'!I:I,$J508)="","",INDEX('Прайс и заказ'!I:I,$J508)))</f>
      </c>
      <c r="G508" s="63" t="str">
        <f>IF($J508=0,"",IF(INDEX('Прайс и заказ'!K:K,$J508)="","",INDEX('Прайс и заказ'!K:K,$J508)))</f>
      </c>
      <c r="H508" s="62" t="str">
        <f>IF($J508=0,"",IF(INDEX('Прайс и заказ'!L:L,$J508)="","",INDEX('Прайс и заказ'!L:L,$J508)))</f>
      </c>
      <c r="I508" s="13" t="str">
        <f>IF($J508=0,"",IF(INDEX('Прайс и заказ'!M:M,$J508)="","",INDEX('Прайс и заказ'!M:M,$J508)))</f>
      </c>
      <c r="J508" t="str">
        <f>IFERROR(MATCH(500,'Прайс и заказ'!$N$7:$N$623,0)+6,0)</f>
      </c>
      <c r="L508" t="str">
        <f>IF($J508=0,"",IF(INDEX('Прайс и заказ'!Q:Q,$J508)="","",INDEX('Прайс и заказ'!Q:Q,$J508)))</f>
      </c>
    </row>
    <row r="509" spans="1:12" customHeight="1" ht="40">
      <c r="A509" s="13" t="str">
        <f>IF($J509=0,"",IFERROR(_xlfn.IMAGE(INDEX('Прайс и заказ'!$O:$O,$J509)),""))</f>
      </c>
      <c r="B509" s="61" t="str">
        <f>IF($J509=0,"",IF(INDEX('Прайс и заказ'!B:B,$J509)="","",INDEX('Прайс и заказ'!B:B,$J509)))</f>
      </c>
      <c r="C509" s="64" t="str">
        <f>IF($J509=0,"",IF(INDEX('Прайс и заказ'!C:C,$J509)="","",INDEX('Прайс и заказ'!C:C,$J509)))</f>
      </c>
      <c r="D509" s="64" t="str">
        <f>IF($J509=0,"",IF(INDEX('Прайс и заказ'!D:D,$J509)="","",INDEX('Прайс и заказ'!D:D,$J509)))</f>
      </c>
      <c r="E509" s="61" t="str">
        <f>IF($J509=0,"",IF(INDEX('Прайс и заказ'!F:F,$J509)="","",INDEX('Прайс и заказ'!F:F,$J509)))</f>
      </c>
      <c r="F509" s="62" t="str">
        <f>IF($J509=0,"",IF(INDEX('Прайс и заказ'!I:I,$J509)="","",INDEX('Прайс и заказ'!I:I,$J509)))</f>
      </c>
      <c r="G509" s="63" t="str">
        <f>IF($J509=0,"",IF(INDEX('Прайс и заказ'!K:K,$J509)="","",INDEX('Прайс и заказ'!K:K,$J509)))</f>
      </c>
      <c r="H509" s="62" t="str">
        <f>IF($J509=0,"",IF(INDEX('Прайс и заказ'!L:L,$J509)="","",INDEX('Прайс и заказ'!L:L,$J509)))</f>
      </c>
      <c r="I509" s="13" t="str">
        <f>IF($J509=0,"",IF(INDEX('Прайс и заказ'!M:M,$J509)="","",INDEX('Прайс и заказ'!M:M,$J509)))</f>
      </c>
      <c r="J509" t="str">
        <f>IFERROR(MATCH(501,'Прайс и заказ'!$N$7:$N$623,0)+6,0)</f>
      </c>
      <c r="L509" t="str">
        <f>IF($J509=0,"",IF(INDEX('Прайс и заказ'!Q:Q,$J509)="","",INDEX('Прайс и заказ'!Q:Q,$J509)))</f>
      </c>
    </row>
    <row r="510" spans="1:12" customHeight="1" ht="40">
      <c r="A510" s="13" t="str">
        <f>IF($J510=0,"",IFERROR(_xlfn.IMAGE(INDEX('Прайс и заказ'!$O:$O,$J510)),""))</f>
      </c>
      <c r="B510" s="61" t="str">
        <f>IF($J510=0,"",IF(INDEX('Прайс и заказ'!B:B,$J510)="","",INDEX('Прайс и заказ'!B:B,$J510)))</f>
      </c>
      <c r="C510" s="64" t="str">
        <f>IF($J510=0,"",IF(INDEX('Прайс и заказ'!C:C,$J510)="","",INDEX('Прайс и заказ'!C:C,$J510)))</f>
      </c>
      <c r="D510" s="64" t="str">
        <f>IF($J510=0,"",IF(INDEX('Прайс и заказ'!D:D,$J510)="","",INDEX('Прайс и заказ'!D:D,$J510)))</f>
      </c>
      <c r="E510" s="61" t="str">
        <f>IF($J510=0,"",IF(INDEX('Прайс и заказ'!F:F,$J510)="","",INDEX('Прайс и заказ'!F:F,$J510)))</f>
      </c>
      <c r="F510" s="62" t="str">
        <f>IF($J510=0,"",IF(INDEX('Прайс и заказ'!I:I,$J510)="","",INDEX('Прайс и заказ'!I:I,$J510)))</f>
      </c>
      <c r="G510" s="63" t="str">
        <f>IF($J510=0,"",IF(INDEX('Прайс и заказ'!K:K,$J510)="","",INDEX('Прайс и заказ'!K:K,$J510)))</f>
      </c>
      <c r="H510" s="62" t="str">
        <f>IF($J510=0,"",IF(INDEX('Прайс и заказ'!L:L,$J510)="","",INDEX('Прайс и заказ'!L:L,$J510)))</f>
      </c>
      <c r="I510" s="13" t="str">
        <f>IF($J510=0,"",IF(INDEX('Прайс и заказ'!M:M,$J510)="","",INDEX('Прайс и заказ'!M:M,$J510)))</f>
      </c>
      <c r="J510" t="str">
        <f>IFERROR(MATCH(502,'Прайс и заказ'!$N$7:$N$623,0)+6,0)</f>
      </c>
      <c r="L510" t="str">
        <f>IF($J510=0,"",IF(INDEX('Прайс и заказ'!Q:Q,$J510)="","",INDEX('Прайс и заказ'!Q:Q,$J510)))</f>
      </c>
    </row>
    <row r="511" spans="1:12" customHeight="1" ht="40">
      <c r="A511" s="13" t="str">
        <f>IF($J511=0,"",IFERROR(_xlfn.IMAGE(INDEX('Прайс и заказ'!$O:$O,$J511)),""))</f>
      </c>
      <c r="B511" s="61" t="str">
        <f>IF($J511=0,"",IF(INDEX('Прайс и заказ'!B:B,$J511)="","",INDEX('Прайс и заказ'!B:B,$J511)))</f>
      </c>
      <c r="C511" s="64" t="str">
        <f>IF($J511=0,"",IF(INDEX('Прайс и заказ'!C:C,$J511)="","",INDEX('Прайс и заказ'!C:C,$J511)))</f>
      </c>
      <c r="D511" s="64" t="str">
        <f>IF($J511=0,"",IF(INDEX('Прайс и заказ'!D:D,$J511)="","",INDEX('Прайс и заказ'!D:D,$J511)))</f>
      </c>
      <c r="E511" s="61" t="str">
        <f>IF($J511=0,"",IF(INDEX('Прайс и заказ'!F:F,$J511)="","",INDEX('Прайс и заказ'!F:F,$J511)))</f>
      </c>
      <c r="F511" s="62" t="str">
        <f>IF($J511=0,"",IF(INDEX('Прайс и заказ'!I:I,$J511)="","",INDEX('Прайс и заказ'!I:I,$J511)))</f>
      </c>
      <c r="G511" s="63" t="str">
        <f>IF($J511=0,"",IF(INDEX('Прайс и заказ'!K:K,$J511)="","",INDEX('Прайс и заказ'!K:K,$J511)))</f>
      </c>
      <c r="H511" s="62" t="str">
        <f>IF($J511=0,"",IF(INDEX('Прайс и заказ'!L:L,$J511)="","",INDEX('Прайс и заказ'!L:L,$J511)))</f>
      </c>
      <c r="I511" s="13" t="str">
        <f>IF($J511=0,"",IF(INDEX('Прайс и заказ'!M:M,$J511)="","",INDEX('Прайс и заказ'!M:M,$J511)))</f>
      </c>
      <c r="J511" t="str">
        <f>IFERROR(MATCH(503,'Прайс и заказ'!$N$7:$N$623,0)+6,0)</f>
      </c>
      <c r="L511" t="str">
        <f>IF($J511=0,"",IF(INDEX('Прайс и заказ'!Q:Q,$J511)="","",INDEX('Прайс и заказ'!Q:Q,$J511)))</f>
      </c>
    </row>
    <row r="512" spans="1:12" customHeight="1" ht="40">
      <c r="A512" s="13" t="str">
        <f>IF($J512=0,"",IFERROR(_xlfn.IMAGE(INDEX('Прайс и заказ'!$O:$O,$J512)),""))</f>
      </c>
      <c r="B512" s="61" t="str">
        <f>IF($J512=0,"",IF(INDEX('Прайс и заказ'!B:B,$J512)="","",INDEX('Прайс и заказ'!B:B,$J512)))</f>
      </c>
      <c r="C512" s="64" t="str">
        <f>IF($J512=0,"",IF(INDEX('Прайс и заказ'!C:C,$J512)="","",INDEX('Прайс и заказ'!C:C,$J512)))</f>
      </c>
      <c r="D512" s="64" t="str">
        <f>IF($J512=0,"",IF(INDEX('Прайс и заказ'!D:D,$J512)="","",INDEX('Прайс и заказ'!D:D,$J512)))</f>
      </c>
      <c r="E512" s="61" t="str">
        <f>IF($J512=0,"",IF(INDEX('Прайс и заказ'!F:F,$J512)="","",INDEX('Прайс и заказ'!F:F,$J512)))</f>
      </c>
      <c r="F512" s="62" t="str">
        <f>IF($J512=0,"",IF(INDEX('Прайс и заказ'!I:I,$J512)="","",INDEX('Прайс и заказ'!I:I,$J512)))</f>
      </c>
      <c r="G512" s="63" t="str">
        <f>IF($J512=0,"",IF(INDEX('Прайс и заказ'!K:K,$J512)="","",INDEX('Прайс и заказ'!K:K,$J512)))</f>
      </c>
      <c r="H512" s="62" t="str">
        <f>IF($J512=0,"",IF(INDEX('Прайс и заказ'!L:L,$J512)="","",INDEX('Прайс и заказ'!L:L,$J512)))</f>
      </c>
      <c r="I512" s="13" t="str">
        <f>IF($J512=0,"",IF(INDEX('Прайс и заказ'!M:M,$J512)="","",INDEX('Прайс и заказ'!M:M,$J512)))</f>
      </c>
      <c r="J512" t="str">
        <f>IFERROR(MATCH(504,'Прайс и заказ'!$N$7:$N$623,0)+6,0)</f>
      </c>
      <c r="L512" t="str">
        <f>IF($J512=0,"",IF(INDEX('Прайс и заказ'!Q:Q,$J512)="","",INDEX('Прайс и заказ'!Q:Q,$J512)))</f>
      </c>
    </row>
    <row r="513" spans="1:12" customHeight="1" ht="40">
      <c r="A513" s="13" t="str">
        <f>IF($J513=0,"",IFERROR(_xlfn.IMAGE(INDEX('Прайс и заказ'!$O:$O,$J513)),""))</f>
      </c>
      <c r="B513" s="61" t="str">
        <f>IF($J513=0,"",IF(INDEX('Прайс и заказ'!B:B,$J513)="","",INDEX('Прайс и заказ'!B:B,$J513)))</f>
      </c>
      <c r="C513" s="64" t="str">
        <f>IF($J513=0,"",IF(INDEX('Прайс и заказ'!C:C,$J513)="","",INDEX('Прайс и заказ'!C:C,$J513)))</f>
      </c>
      <c r="D513" s="64" t="str">
        <f>IF($J513=0,"",IF(INDEX('Прайс и заказ'!D:D,$J513)="","",INDEX('Прайс и заказ'!D:D,$J513)))</f>
      </c>
      <c r="E513" s="61" t="str">
        <f>IF($J513=0,"",IF(INDEX('Прайс и заказ'!F:F,$J513)="","",INDEX('Прайс и заказ'!F:F,$J513)))</f>
      </c>
      <c r="F513" s="62" t="str">
        <f>IF($J513=0,"",IF(INDEX('Прайс и заказ'!I:I,$J513)="","",INDEX('Прайс и заказ'!I:I,$J513)))</f>
      </c>
      <c r="G513" s="63" t="str">
        <f>IF($J513=0,"",IF(INDEX('Прайс и заказ'!K:K,$J513)="","",INDEX('Прайс и заказ'!K:K,$J513)))</f>
      </c>
      <c r="H513" s="62" t="str">
        <f>IF($J513=0,"",IF(INDEX('Прайс и заказ'!L:L,$J513)="","",INDEX('Прайс и заказ'!L:L,$J513)))</f>
      </c>
      <c r="I513" s="13" t="str">
        <f>IF($J513=0,"",IF(INDEX('Прайс и заказ'!M:M,$J513)="","",INDEX('Прайс и заказ'!M:M,$J513)))</f>
      </c>
      <c r="J513" t="str">
        <f>IFERROR(MATCH(505,'Прайс и заказ'!$N$7:$N$623,0)+6,0)</f>
      </c>
      <c r="L513" t="str">
        <f>IF($J513=0,"",IF(INDEX('Прайс и заказ'!Q:Q,$J513)="","",INDEX('Прайс и заказ'!Q:Q,$J513)))</f>
      </c>
    </row>
    <row r="514" spans="1:12" customHeight="1" ht="40">
      <c r="A514" s="13" t="str">
        <f>IF($J514=0,"",IFERROR(_xlfn.IMAGE(INDEX('Прайс и заказ'!$O:$O,$J514)),""))</f>
      </c>
      <c r="B514" s="61" t="str">
        <f>IF($J514=0,"",IF(INDEX('Прайс и заказ'!B:B,$J514)="","",INDEX('Прайс и заказ'!B:B,$J514)))</f>
      </c>
      <c r="C514" s="64" t="str">
        <f>IF($J514=0,"",IF(INDEX('Прайс и заказ'!C:C,$J514)="","",INDEX('Прайс и заказ'!C:C,$J514)))</f>
      </c>
      <c r="D514" s="64" t="str">
        <f>IF($J514=0,"",IF(INDEX('Прайс и заказ'!D:D,$J514)="","",INDEX('Прайс и заказ'!D:D,$J514)))</f>
      </c>
      <c r="E514" s="61" t="str">
        <f>IF($J514=0,"",IF(INDEX('Прайс и заказ'!F:F,$J514)="","",INDEX('Прайс и заказ'!F:F,$J514)))</f>
      </c>
      <c r="F514" s="62" t="str">
        <f>IF($J514=0,"",IF(INDEX('Прайс и заказ'!I:I,$J514)="","",INDEX('Прайс и заказ'!I:I,$J514)))</f>
      </c>
      <c r="G514" s="63" t="str">
        <f>IF($J514=0,"",IF(INDEX('Прайс и заказ'!K:K,$J514)="","",INDEX('Прайс и заказ'!K:K,$J514)))</f>
      </c>
      <c r="H514" s="62" t="str">
        <f>IF($J514=0,"",IF(INDEX('Прайс и заказ'!L:L,$J514)="","",INDEX('Прайс и заказ'!L:L,$J514)))</f>
      </c>
      <c r="I514" s="13" t="str">
        <f>IF($J514=0,"",IF(INDEX('Прайс и заказ'!M:M,$J514)="","",INDEX('Прайс и заказ'!M:M,$J514)))</f>
      </c>
      <c r="J514" t="str">
        <f>IFERROR(MATCH(506,'Прайс и заказ'!$N$7:$N$623,0)+6,0)</f>
      </c>
      <c r="L514" t="str">
        <f>IF($J514=0,"",IF(INDEX('Прайс и заказ'!Q:Q,$J514)="","",INDEX('Прайс и заказ'!Q:Q,$J514)))</f>
      </c>
    </row>
    <row r="515" spans="1:12" customHeight="1" ht="40">
      <c r="A515" s="13" t="str">
        <f>IF($J515=0,"",IFERROR(_xlfn.IMAGE(INDEX('Прайс и заказ'!$O:$O,$J515)),""))</f>
      </c>
      <c r="B515" s="61" t="str">
        <f>IF($J515=0,"",IF(INDEX('Прайс и заказ'!B:B,$J515)="","",INDEX('Прайс и заказ'!B:B,$J515)))</f>
      </c>
      <c r="C515" s="64" t="str">
        <f>IF($J515=0,"",IF(INDEX('Прайс и заказ'!C:C,$J515)="","",INDEX('Прайс и заказ'!C:C,$J515)))</f>
      </c>
      <c r="D515" s="64" t="str">
        <f>IF($J515=0,"",IF(INDEX('Прайс и заказ'!D:D,$J515)="","",INDEX('Прайс и заказ'!D:D,$J515)))</f>
      </c>
      <c r="E515" s="61" t="str">
        <f>IF($J515=0,"",IF(INDEX('Прайс и заказ'!F:F,$J515)="","",INDEX('Прайс и заказ'!F:F,$J515)))</f>
      </c>
      <c r="F515" s="62" t="str">
        <f>IF($J515=0,"",IF(INDEX('Прайс и заказ'!I:I,$J515)="","",INDEX('Прайс и заказ'!I:I,$J515)))</f>
      </c>
      <c r="G515" s="63" t="str">
        <f>IF($J515=0,"",IF(INDEX('Прайс и заказ'!K:K,$J515)="","",INDEX('Прайс и заказ'!K:K,$J515)))</f>
      </c>
      <c r="H515" s="62" t="str">
        <f>IF($J515=0,"",IF(INDEX('Прайс и заказ'!L:L,$J515)="","",INDEX('Прайс и заказ'!L:L,$J515)))</f>
      </c>
      <c r="I515" s="13" t="str">
        <f>IF($J515=0,"",IF(INDEX('Прайс и заказ'!M:M,$J515)="","",INDEX('Прайс и заказ'!M:M,$J515)))</f>
      </c>
      <c r="J515" t="str">
        <f>IFERROR(MATCH(507,'Прайс и заказ'!$N$7:$N$623,0)+6,0)</f>
      </c>
      <c r="L515" t="str">
        <f>IF($J515=0,"",IF(INDEX('Прайс и заказ'!Q:Q,$J515)="","",INDEX('Прайс и заказ'!Q:Q,$J515)))</f>
      </c>
    </row>
    <row r="516" spans="1:12" customHeight="1" ht="40">
      <c r="A516" s="13" t="str">
        <f>IF($J516=0,"",IFERROR(_xlfn.IMAGE(INDEX('Прайс и заказ'!$O:$O,$J516)),""))</f>
      </c>
      <c r="B516" s="61" t="str">
        <f>IF($J516=0,"",IF(INDEX('Прайс и заказ'!B:B,$J516)="","",INDEX('Прайс и заказ'!B:B,$J516)))</f>
      </c>
      <c r="C516" s="64" t="str">
        <f>IF($J516=0,"",IF(INDEX('Прайс и заказ'!C:C,$J516)="","",INDEX('Прайс и заказ'!C:C,$J516)))</f>
      </c>
      <c r="D516" s="64" t="str">
        <f>IF($J516=0,"",IF(INDEX('Прайс и заказ'!D:D,$J516)="","",INDEX('Прайс и заказ'!D:D,$J516)))</f>
      </c>
      <c r="E516" s="61" t="str">
        <f>IF($J516=0,"",IF(INDEX('Прайс и заказ'!F:F,$J516)="","",INDEX('Прайс и заказ'!F:F,$J516)))</f>
      </c>
      <c r="F516" s="62" t="str">
        <f>IF($J516=0,"",IF(INDEX('Прайс и заказ'!I:I,$J516)="","",INDEX('Прайс и заказ'!I:I,$J516)))</f>
      </c>
      <c r="G516" s="63" t="str">
        <f>IF($J516=0,"",IF(INDEX('Прайс и заказ'!K:K,$J516)="","",INDEX('Прайс и заказ'!K:K,$J516)))</f>
      </c>
      <c r="H516" s="62" t="str">
        <f>IF($J516=0,"",IF(INDEX('Прайс и заказ'!L:L,$J516)="","",INDEX('Прайс и заказ'!L:L,$J516)))</f>
      </c>
      <c r="I516" s="13" t="str">
        <f>IF($J516=0,"",IF(INDEX('Прайс и заказ'!M:M,$J516)="","",INDEX('Прайс и заказ'!M:M,$J516)))</f>
      </c>
      <c r="J516" t="str">
        <f>IFERROR(MATCH(508,'Прайс и заказ'!$N$7:$N$623,0)+6,0)</f>
      </c>
      <c r="L516" t="str">
        <f>IF($J516=0,"",IF(INDEX('Прайс и заказ'!Q:Q,$J516)="","",INDEX('Прайс и заказ'!Q:Q,$J516)))</f>
      </c>
    </row>
    <row r="517" spans="1:12" customHeight="1" ht="40">
      <c r="A517" s="13" t="str">
        <f>IF($J517=0,"",IFERROR(_xlfn.IMAGE(INDEX('Прайс и заказ'!$O:$O,$J517)),""))</f>
      </c>
      <c r="B517" s="61" t="str">
        <f>IF($J517=0,"",IF(INDEX('Прайс и заказ'!B:B,$J517)="","",INDEX('Прайс и заказ'!B:B,$J517)))</f>
      </c>
      <c r="C517" s="64" t="str">
        <f>IF($J517=0,"",IF(INDEX('Прайс и заказ'!C:C,$J517)="","",INDEX('Прайс и заказ'!C:C,$J517)))</f>
      </c>
      <c r="D517" s="64" t="str">
        <f>IF($J517=0,"",IF(INDEX('Прайс и заказ'!D:D,$J517)="","",INDEX('Прайс и заказ'!D:D,$J517)))</f>
      </c>
      <c r="E517" s="61" t="str">
        <f>IF($J517=0,"",IF(INDEX('Прайс и заказ'!F:F,$J517)="","",INDEX('Прайс и заказ'!F:F,$J517)))</f>
      </c>
      <c r="F517" s="62" t="str">
        <f>IF($J517=0,"",IF(INDEX('Прайс и заказ'!I:I,$J517)="","",INDEX('Прайс и заказ'!I:I,$J517)))</f>
      </c>
      <c r="G517" s="63" t="str">
        <f>IF($J517=0,"",IF(INDEX('Прайс и заказ'!K:K,$J517)="","",INDEX('Прайс и заказ'!K:K,$J517)))</f>
      </c>
      <c r="H517" s="62" t="str">
        <f>IF($J517=0,"",IF(INDEX('Прайс и заказ'!L:L,$J517)="","",INDEX('Прайс и заказ'!L:L,$J517)))</f>
      </c>
      <c r="I517" s="13" t="str">
        <f>IF($J517=0,"",IF(INDEX('Прайс и заказ'!M:M,$J517)="","",INDEX('Прайс и заказ'!M:M,$J517)))</f>
      </c>
      <c r="J517" t="str">
        <f>IFERROR(MATCH(509,'Прайс и заказ'!$N$7:$N$623,0)+6,0)</f>
      </c>
      <c r="L517" t="str">
        <f>IF($J517=0,"",IF(INDEX('Прайс и заказ'!Q:Q,$J517)="","",INDEX('Прайс и заказ'!Q:Q,$J517)))</f>
      </c>
    </row>
    <row r="518" spans="1:12" customHeight="1" ht="40">
      <c r="A518" s="13" t="str">
        <f>IF($J518=0,"",IFERROR(_xlfn.IMAGE(INDEX('Прайс и заказ'!$O:$O,$J518)),""))</f>
      </c>
      <c r="B518" s="61" t="str">
        <f>IF($J518=0,"",IF(INDEX('Прайс и заказ'!B:B,$J518)="","",INDEX('Прайс и заказ'!B:B,$J518)))</f>
      </c>
      <c r="C518" s="64" t="str">
        <f>IF($J518=0,"",IF(INDEX('Прайс и заказ'!C:C,$J518)="","",INDEX('Прайс и заказ'!C:C,$J518)))</f>
      </c>
      <c r="D518" s="64" t="str">
        <f>IF($J518=0,"",IF(INDEX('Прайс и заказ'!D:D,$J518)="","",INDEX('Прайс и заказ'!D:D,$J518)))</f>
      </c>
      <c r="E518" s="61" t="str">
        <f>IF($J518=0,"",IF(INDEX('Прайс и заказ'!F:F,$J518)="","",INDEX('Прайс и заказ'!F:F,$J518)))</f>
      </c>
      <c r="F518" s="62" t="str">
        <f>IF($J518=0,"",IF(INDEX('Прайс и заказ'!I:I,$J518)="","",INDEX('Прайс и заказ'!I:I,$J518)))</f>
      </c>
      <c r="G518" s="63" t="str">
        <f>IF($J518=0,"",IF(INDEX('Прайс и заказ'!K:K,$J518)="","",INDEX('Прайс и заказ'!K:K,$J518)))</f>
      </c>
      <c r="H518" s="62" t="str">
        <f>IF($J518=0,"",IF(INDEX('Прайс и заказ'!L:L,$J518)="","",INDEX('Прайс и заказ'!L:L,$J518)))</f>
      </c>
      <c r="I518" s="13" t="str">
        <f>IF($J518=0,"",IF(INDEX('Прайс и заказ'!M:M,$J518)="","",INDEX('Прайс и заказ'!M:M,$J518)))</f>
      </c>
      <c r="J518" t="str">
        <f>IFERROR(MATCH(510,'Прайс и заказ'!$N$7:$N$623,0)+6,0)</f>
      </c>
      <c r="L518" t="str">
        <f>IF($J518=0,"",IF(INDEX('Прайс и заказ'!Q:Q,$J518)="","",INDEX('Прайс и заказ'!Q:Q,$J518)))</f>
      </c>
    </row>
    <row r="519" spans="1:12" customHeight="1" ht="40">
      <c r="A519" s="13" t="str">
        <f>IF($J519=0,"",IFERROR(_xlfn.IMAGE(INDEX('Прайс и заказ'!$O:$O,$J519)),""))</f>
      </c>
      <c r="B519" s="61" t="str">
        <f>IF($J519=0,"",IF(INDEX('Прайс и заказ'!B:B,$J519)="","",INDEX('Прайс и заказ'!B:B,$J519)))</f>
      </c>
      <c r="C519" s="64" t="str">
        <f>IF($J519=0,"",IF(INDEX('Прайс и заказ'!C:C,$J519)="","",INDEX('Прайс и заказ'!C:C,$J519)))</f>
      </c>
      <c r="D519" s="64" t="str">
        <f>IF($J519=0,"",IF(INDEX('Прайс и заказ'!D:D,$J519)="","",INDEX('Прайс и заказ'!D:D,$J519)))</f>
      </c>
      <c r="E519" s="61" t="str">
        <f>IF($J519=0,"",IF(INDEX('Прайс и заказ'!F:F,$J519)="","",INDEX('Прайс и заказ'!F:F,$J519)))</f>
      </c>
      <c r="F519" s="62" t="str">
        <f>IF($J519=0,"",IF(INDEX('Прайс и заказ'!I:I,$J519)="","",INDEX('Прайс и заказ'!I:I,$J519)))</f>
      </c>
      <c r="G519" s="63" t="str">
        <f>IF($J519=0,"",IF(INDEX('Прайс и заказ'!K:K,$J519)="","",INDEX('Прайс и заказ'!K:K,$J519)))</f>
      </c>
      <c r="H519" s="62" t="str">
        <f>IF($J519=0,"",IF(INDEX('Прайс и заказ'!L:L,$J519)="","",INDEX('Прайс и заказ'!L:L,$J519)))</f>
      </c>
      <c r="I519" s="13" t="str">
        <f>IF($J519=0,"",IF(INDEX('Прайс и заказ'!M:M,$J519)="","",INDEX('Прайс и заказ'!M:M,$J519)))</f>
      </c>
      <c r="J519" t="str">
        <f>IFERROR(MATCH(511,'Прайс и заказ'!$N$7:$N$623,0)+6,0)</f>
      </c>
      <c r="L519" t="str">
        <f>IF($J519=0,"",IF(INDEX('Прайс и заказ'!Q:Q,$J519)="","",INDEX('Прайс и заказ'!Q:Q,$J519)))</f>
      </c>
    </row>
    <row r="520" spans="1:12" customHeight="1" ht="40">
      <c r="A520" s="13" t="str">
        <f>IF($J520=0,"",IFERROR(_xlfn.IMAGE(INDEX('Прайс и заказ'!$O:$O,$J520)),""))</f>
      </c>
      <c r="B520" s="61" t="str">
        <f>IF($J520=0,"",IF(INDEX('Прайс и заказ'!B:B,$J520)="","",INDEX('Прайс и заказ'!B:B,$J520)))</f>
      </c>
      <c r="C520" s="64" t="str">
        <f>IF($J520=0,"",IF(INDEX('Прайс и заказ'!C:C,$J520)="","",INDEX('Прайс и заказ'!C:C,$J520)))</f>
      </c>
      <c r="D520" s="64" t="str">
        <f>IF($J520=0,"",IF(INDEX('Прайс и заказ'!D:D,$J520)="","",INDEX('Прайс и заказ'!D:D,$J520)))</f>
      </c>
      <c r="E520" s="61" t="str">
        <f>IF($J520=0,"",IF(INDEX('Прайс и заказ'!F:F,$J520)="","",INDEX('Прайс и заказ'!F:F,$J520)))</f>
      </c>
      <c r="F520" s="62" t="str">
        <f>IF($J520=0,"",IF(INDEX('Прайс и заказ'!I:I,$J520)="","",INDEX('Прайс и заказ'!I:I,$J520)))</f>
      </c>
      <c r="G520" s="63" t="str">
        <f>IF($J520=0,"",IF(INDEX('Прайс и заказ'!K:K,$J520)="","",INDEX('Прайс и заказ'!K:K,$J520)))</f>
      </c>
      <c r="H520" s="62" t="str">
        <f>IF($J520=0,"",IF(INDEX('Прайс и заказ'!L:L,$J520)="","",INDEX('Прайс и заказ'!L:L,$J520)))</f>
      </c>
      <c r="I520" s="13" t="str">
        <f>IF($J520=0,"",IF(INDEX('Прайс и заказ'!M:M,$J520)="","",INDEX('Прайс и заказ'!M:M,$J520)))</f>
      </c>
      <c r="J520" t="str">
        <f>IFERROR(MATCH(512,'Прайс и заказ'!$N$7:$N$623,0)+6,0)</f>
      </c>
      <c r="L520" t="str">
        <f>IF($J520=0,"",IF(INDEX('Прайс и заказ'!Q:Q,$J520)="","",INDEX('Прайс и заказ'!Q:Q,$J520)))</f>
      </c>
    </row>
    <row r="521" spans="1:12" customHeight="1" ht="40">
      <c r="A521" s="13" t="str">
        <f>IF($J521=0,"",IFERROR(_xlfn.IMAGE(INDEX('Прайс и заказ'!$O:$O,$J521)),""))</f>
      </c>
      <c r="B521" s="61" t="str">
        <f>IF($J521=0,"",IF(INDEX('Прайс и заказ'!B:B,$J521)="","",INDEX('Прайс и заказ'!B:B,$J521)))</f>
      </c>
      <c r="C521" s="64" t="str">
        <f>IF($J521=0,"",IF(INDEX('Прайс и заказ'!C:C,$J521)="","",INDEX('Прайс и заказ'!C:C,$J521)))</f>
      </c>
      <c r="D521" s="64" t="str">
        <f>IF($J521=0,"",IF(INDEX('Прайс и заказ'!D:D,$J521)="","",INDEX('Прайс и заказ'!D:D,$J521)))</f>
      </c>
      <c r="E521" s="61" t="str">
        <f>IF($J521=0,"",IF(INDEX('Прайс и заказ'!F:F,$J521)="","",INDEX('Прайс и заказ'!F:F,$J521)))</f>
      </c>
      <c r="F521" s="62" t="str">
        <f>IF($J521=0,"",IF(INDEX('Прайс и заказ'!I:I,$J521)="","",INDEX('Прайс и заказ'!I:I,$J521)))</f>
      </c>
      <c r="G521" s="63" t="str">
        <f>IF($J521=0,"",IF(INDEX('Прайс и заказ'!K:K,$J521)="","",INDEX('Прайс и заказ'!K:K,$J521)))</f>
      </c>
      <c r="H521" s="62" t="str">
        <f>IF($J521=0,"",IF(INDEX('Прайс и заказ'!L:L,$J521)="","",INDEX('Прайс и заказ'!L:L,$J521)))</f>
      </c>
      <c r="I521" s="13" t="str">
        <f>IF($J521=0,"",IF(INDEX('Прайс и заказ'!M:M,$J521)="","",INDEX('Прайс и заказ'!M:M,$J521)))</f>
      </c>
      <c r="J521" t="str">
        <f>IFERROR(MATCH(513,'Прайс и заказ'!$N$7:$N$623,0)+6,0)</f>
      </c>
      <c r="L521" t="str">
        <f>IF($J521=0,"",IF(INDEX('Прайс и заказ'!Q:Q,$J521)="","",INDEX('Прайс и заказ'!Q:Q,$J521)))</f>
      </c>
    </row>
    <row r="522" spans="1:12" customHeight="1" ht="40">
      <c r="A522" s="13" t="str">
        <f>IF($J522=0,"",IFERROR(_xlfn.IMAGE(INDEX('Прайс и заказ'!$O:$O,$J522)),""))</f>
      </c>
      <c r="B522" s="61" t="str">
        <f>IF($J522=0,"",IF(INDEX('Прайс и заказ'!B:B,$J522)="","",INDEX('Прайс и заказ'!B:B,$J522)))</f>
      </c>
      <c r="C522" s="64" t="str">
        <f>IF($J522=0,"",IF(INDEX('Прайс и заказ'!C:C,$J522)="","",INDEX('Прайс и заказ'!C:C,$J522)))</f>
      </c>
      <c r="D522" s="64" t="str">
        <f>IF($J522=0,"",IF(INDEX('Прайс и заказ'!D:D,$J522)="","",INDEX('Прайс и заказ'!D:D,$J522)))</f>
      </c>
      <c r="E522" s="61" t="str">
        <f>IF($J522=0,"",IF(INDEX('Прайс и заказ'!F:F,$J522)="","",INDEX('Прайс и заказ'!F:F,$J522)))</f>
      </c>
      <c r="F522" s="62" t="str">
        <f>IF($J522=0,"",IF(INDEX('Прайс и заказ'!I:I,$J522)="","",INDEX('Прайс и заказ'!I:I,$J522)))</f>
      </c>
      <c r="G522" s="63" t="str">
        <f>IF($J522=0,"",IF(INDEX('Прайс и заказ'!K:K,$J522)="","",INDEX('Прайс и заказ'!K:K,$J522)))</f>
      </c>
      <c r="H522" s="62" t="str">
        <f>IF($J522=0,"",IF(INDEX('Прайс и заказ'!L:L,$J522)="","",INDEX('Прайс и заказ'!L:L,$J522)))</f>
      </c>
      <c r="I522" s="13" t="str">
        <f>IF($J522=0,"",IF(INDEX('Прайс и заказ'!M:M,$J522)="","",INDEX('Прайс и заказ'!M:M,$J522)))</f>
      </c>
      <c r="J522" t="str">
        <f>IFERROR(MATCH(514,'Прайс и заказ'!$N$7:$N$623,0)+6,0)</f>
      </c>
      <c r="L522" t="str">
        <f>IF($J522=0,"",IF(INDEX('Прайс и заказ'!Q:Q,$J522)="","",INDEX('Прайс и заказ'!Q:Q,$J522)))</f>
      </c>
    </row>
    <row r="523" spans="1:12" customHeight="1" ht="40">
      <c r="A523" s="13" t="str">
        <f>IF($J523=0,"",IFERROR(_xlfn.IMAGE(INDEX('Прайс и заказ'!$O:$O,$J523)),""))</f>
      </c>
      <c r="B523" s="61" t="str">
        <f>IF($J523=0,"",IF(INDEX('Прайс и заказ'!B:B,$J523)="","",INDEX('Прайс и заказ'!B:B,$J523)))</f>
      </c>
      <c r="C523" s="64" t="str">
        <f>IF($J523=0,"",IF(INDEX('Прайс и заказ'!C:C,$J523)="","",INDEX('Прайс и заказ'!C:C,$J523)))</f>
      </c>
      <c r="D523" s="64" t="str">
        <f>IF($J523=0,"",IF(INDEX('Прайс и заказ'!D:D,$J523)="","",INDEX('Прайс и заказ'!D:D,$J523)))</f>
      </c>
      <c r="E523" s="61" t="str">
        <f>IF($J523=0,"",IF(INDEX('Прайс и заказ'!F:F,$J523)="","",INDEX('Прайс и заказ'!F:F,$J523)))</f>
      </c>
      <c r="F523" s="62" t="str">
        <f>IF($J523=0,"",IF(INDEX('Прайс и заказ'!I:I,$J523)="","",INDEX('Прайс и заказ'!I:I,$J523)))</f>
      </c>
      <c r="G523" s="63" t="str">
        <f>IF($J523=0,"",IF(INDEX('Прайс и заказ'!K:K,$J523)="","",INDEX('Прайс и заказ'!K:K,$J523)))</f>
      </c>
      <c r="H523" s="62" t="str">
        <f>IF($J523=0,"",IF(INDEX('Прайс и заказ'!L:L,$J523)="","",INDEX('Прайс и заказ'!L:L,$J523)))</f>
      </c>
      <c r="I523" s="13" t="str">
        <f>IF($J523=0,"",IF(INDEX('Прайс и заказ'!M:M,$J523)="","",INDEX('Прайс и заказ'!M:M,$J523)))</f>
      </c>
      <c r="J523" t="str">
        <f>IFERROR(MATCH(515,'Прайс и заказ'!$N$7:$N$623,0)+6,0)</f>
      </c>
      <c r="L523" t="str">
        <f>IF($J523=0,"",IF(INDEX('Прайс и заказ'!Q:Q,$J523)="","",INDEX('Прайс и заказ'!Q:Q,$J523)))</f>
      </c>
    </row>
    <row r="524" spans="1:12" customHeight="1" ht="40">
      <c r="A524" s="13" t="str">
        <f>IF($J524=0,"",IFERROR(_xlfn.IMAGE(INDEX('Прайс и заказ'!$O:$O,$J524)),""))</f>
      </c>
      <c r="B524" s="61" t="str">
        <f>IF($J524=0,"",IF(INDEX('Прайс и заказ'!B:B,$J524)="","",INDEX('Прайс и заказ'!B:B,$J524)))</f>
      </c>
      <c r="C524" s="64" t="str">
        <f>IF($J524=0,"",IF(INDEX('Прайс и заказ'!C:C,$J524)="","",INDEX('Прайс и заказ'!C:C,$J524)))</f>
      </c>
      <c r="D524" s="64" t="str">
        <f>IF($J524=0,"",IF(INDEX('Прайс и заказ'!D:D,$J524)="","",INDEX('Прайс и заказ'!D:D,$J524)))</f>
      </c>
      <c r="E524" s="61" t="str">
        <f>IF($J524=0,"",IF(INDEX('Прайс и заказ'!F:F,$J524)="","",INDEX('Прайс и заказ'!F:F,$J524)))</f>
      </c>
      <c r="F524" s="62" t="str">
        <f>IF($J524=0,"",IF(INDEX('Прайс и заказ'!I:I,$J524)="","",INDEX('Прайс и заказ'!I:I,$J524)))</f>
      </c>
      <c r="G524" s="63" t="str">
        <f>IF($J524=0,"",IF(INDEX('Прайс и заказ'!K:K,$J524)="","",INDEX('Прайс и заказ'!K:K,$J524)))</f>
      </c>
      <c r="H524" s="62" t="str">
        <f>IF($J524=0,"",IF(INDEX('Прайс и заказ'!L:L,$J524)="","",INDEX('Прайс и заказ'!L:L,$J524)))</f>
      </c>
      <c r="I524" s="13" t="str">
        <f>IF($J524=0,"",IF(INDEX('Прайс и заказ'!M:M,$J524)="","",INDEX('Прайс и заказ'!M:M,$J524)))</f>
      </c>
      <c r="J524" t="str">
        <f>IFERROR(MATCH(516,'Прайс и заказ'!$N$7:$N$623,0)+6,0)</f>
      </c>
      <c r="L524" t="str">
        <f>IF($J524=0,"",IF(INDEX('Прайс и заказ'!Q:Q,$J524)="","",INDEX('Прайс и заказ'!Q:Q,$J524)))</f>
      </c>
    </row>
    <row r="525" spans="1:12" customHeight="1" ht="40">
      <c r="A525" s="13" t="str">
        <f>IF($J525=0,"",IFERROR(_xlfn.IMAGE(INDEX('Прайс и заказ'!$O:$O,$J525)),""))</f>
      </c>
      <c r="B525" s="61" t="str">
        <f>IF($J525=0,"",IF(INDEX('Прайс и заказ'!B:B,$J525)="","",INDEX('Прайс и заказ'!B:B,$J525)))</f>
      </c>
      <c r="C525" s="64" t="str">
        <f>IF($J525=0,"",IF(INDEX('Прайс и заказ'!C:C,$J525)="","",INDEX('Прайс и заказ'!C:C,$J525)))</f>
      </c>
      <c r="D525" s="64" t="str">
        <f>IF($J525=0,"",IF(INDEX('Прайс и заказ'!D:D,$J525)="","",INDEX('Прайс и заказ'!D:D,$J525)))</f>
      </c>
      <c r="E525" s="61" t="str">
        <f>IF($J525=0,"",IF(INDEX('Прайс и заказ'!F:F,$J525)="","",INDEX('Прайс и заказ'!F:F,$J525)))</f>
      </c>
      <c r="F525" s="62" t="str">
        <f>IF($J525=0,"",IF(INDEX('Прайс и заказ'!I:I,$J525)="","",INDEX('Прайс и заказ'!I:I,$J525)))</f>
      </c>
      <c r="G525" s="63" t="str">
        <f>IF($J525=0,"",IF(INDEX('Прайс и заказ'!K:K,$J525)="","",INDEX('Прайс и заказ'!K:K,$J525)))</f>
      </c>
      <c r="H525" s="62" t="str">
        <f>IF($J525=0,"",IF(INDEX('Прайс и заказ'!L:L,$J525)="","",INDEX('Прайс и заказ'!L:L,$J525)))</f>
      </c>
      <c r="I525" s="13" t="str">
        <f>IF($J525=0,"",IF(INDEX('Прайс и заказ'!M:M,$J525)="","",INDEX('Прайс и заказ'!M:M,$J525)))</f>
      </c>
      <c r="J525" t="str">
        <f>IFERROR(MATCH(517,'Прайс и заказ'!$N$7:$N$623,0)+6,0)</f>
      </c>
      <c r="L525" t="str">
        <f>IF($J525=0,"",IF(INDEX('Прайс и заказ'!Q:Q,$J525)="","",INDEX('Прайс и заказ'!Q:Q,$J525)))</f>
      </c>
    </row>
    <row r="526" spans="1:12" customHeight="1" ht="40">
      <c r="A526" s="13" t="str">
        <f>IF($J526=0,"",IFERROR(_xlfn.IMAGE(INDEX('Прайс и заказ'!$O:$O,$J526)),""))</f>
      </c>
      <c r="B526" s="61" t="str">
        <f>IF($J526=0,"",IF(INDEX('Прайс и заказ'!B:B,$J526)="","",INDEX('Прайс и заказ'!B:B,$J526)))</f>
      </c>
      <c r="C526" s="64" t="str">
        <f>IF($J526=0,"",IF(INDEX('Прайс и заказ'!C:C,$J526)="","",INDEX('Прайс и заказ'!C:C,$J526)))</f>
      </c>
      <c r="D526" s="64" t="str">
        <f>IF($J526=0,"",IF(INDEX('Прайс и заказ'!D:D,$J526)="","",INDEX('Прайс и заказ'!D:D,$J526)))</f>
      </c>
      <c r="E526" s="61" t="str">
        <f>IF($J526=0,"",IF(INDEX('Прайс и заказ'!F:F,$J526)="","",INDEX('Прайс и заказ'!F:F,$J526)))</f>
      </c>
      <c r="F526" s="62" t="str">
        <f>IF($J526=0,"",IF(INDEX('Прайс и заказ'!I:I,$J526)="","",INDEX('Прайс и заказ'!I:I,$J526)))</f>
      </c>
      <c r="G526" s="63" t="str">
        <f>IF($J526=0,"",IF(INDEX('Прайс и заказ'!K:K,$J526)="","",INDEX('Прайс и заказ'!K:K,$J526)))</f>
      </c>
      <c r="H526" s="62" t="str">
        <f>IF($J526=0,"",IF(INDEX('Прайс и заказ'!L:L,$J526)="","",INDEX('Прайс и заказ'!L:L,$J526)))</f>
      </c>
      <c r="I526" s="13" t="str">
        <f>IF($J526=0,"",IF(INDEX('Прайс и заказ'!M:M,$J526)="","",INDEX('Прайс и заказ'!M:M,$J526)))</f>
      </c>
      <c r="J526" t="str">
        <f>IFERROR(MATCH(518,'Прайс и заказ'!$N$7:$N$623,0)+6,0)</f>
      </c>
      <c r="L526" t="str">
        <f>IF($J526=0,"",IF(INDEX('Прайс и заказ'!Q:Q,$J526)="","",INDEX('Прайс и заказ'!Q:Q,$J526)))</f>
      </c>
    </row>
    <row r="527" spans="1:12" customHeight="1" ht="40">
      <c r="A527" s="13" t="str">
        <f>IF($J527=0,"",IFERROR(_xlfn.IMAGE(INDEX('Прайс и заказ'!$O:$O,$J527)),""))</f>
      </c>
      <c r="B527" s="61" t="str">
        <f>IF($J527=0,"",IF(INDEX('Прайс и заказ'!B:B,$J527)="","",INDEX('Прайс и заказ'!B:B,$J527)))</f>
      </c>
      <c r="C527" s="64" t="str">
        <f>IF($J527=0,"",IF(INDEX('Прайс и заказ'!C:C,$J527)="","",INDEX('Прайс и заказ'!C:C,$J527)))</f>
      </c>
      <c r="D527" s="64" t="str">
        <f>IF($J527=0,"",IF(INDEX('Прайс и заказ'!D:D,$J527)="","",INDEX('Прайс и заказ'!D:D,$J527)))</f>
      </c>
      <c r="E527" s="61" t="str">
        <f>IF($J527=0,"",IF(INDEX('Прайс и заказ'!F:F,$J527)="","",INDEX('Прайс и заказ'!F:F,$J527)))</f>
      </c>
      <c r="F527" s="62" t="str">
        <f>IF($J527=0,"",IF(INDEX('Прайс и заказ'!I:I,$J527)="","",INDEX('Прайс и заказ'!I:I,$J527)))</f>
      </c>
      <c r="G527" s="63" t="str">
        <f>IF($J527=0,"",IF(INDEX('Прайс и заказ'!K:K,$J527)="","",INDEX('Прайс и заказ'!K:K,$J527)))</f>
      </c>
      <c r="H527" s="62" t="str">
        <f>IF($J527=0,"",IF(INDEX('Прайс и заказ'!L:L,$J527)="","",INDEX('Прайс и заказ'!L:L,$J527)))</f>
      </c>
      <c r="I527" s="13" t="str">
        <f>IF($J527=0,"",IF(INDEX('Прайс и заказ'!M:M,$J527)="","",INDEX('Прайс и заказ'!M:M,$J527)))</f>
      </c>
      <c r="J527" t="str">
        <f>IFERROR(MATCH(519,'Прайс и заказ'!$N$7:$N$623,0)+6,0)</f>
      </c>
      <c r="L527" t="str">
        <f>IF($J527=0,"",IF(INDEX('Прайс и заказ'!Q:Q,$J527)="","",INDEX('Прайс и заказ'!Q:Q,$J527)))</f>
      </c>
    </row>
    <row r="528" spans="1:12" customHeight="1" ht="40">
      <c r="A528" s="13" t="str">
        <f>IF($J528=0,"",IFERROR(_xlfn.IMAGE(INDEX('Прайс и заказ'!$O:$O,$J528)),""))</f>
      </c>
      <c r="B528" s="61" t="str">
        <f>IF($J528=0,"",IF(INDEX('Прайс и заказ'!B:B,$J528)="","",INDEX('Прайс и заказ'!B:B,$J528)))</f>
      </c>
      <c r="C528" s="64" t="str">
        <f>IF($J528=0,"",IF(INDEX('Прайс и заказ'!C:C,$J528)="","",INDEX('Прайс и заказ'!C:C,$J528)))</f>
      </c>
      <c r="D528" s="64" t="str">
        <f>IF($J528=0,"",IF(INDEX('Прайс и заказ'!D:D,$J528)="","",INDEX('Прайс и заказ'!D:D,$J528)))</f>
      </c>
      <c r="E528" s="61" t="str">
        <f>IF($J528=0,"",IF(INDEX('Прайс и заказ'!F:F,$J528)="","",INDEX('Прайс и заказ'!F:F,$J528)))</f>
      </c>
      <c r="F528" s="62" t="str">
        <f>IF($J528=0,"",IF(INDEX('Прайс и заказ'!I:I,$J528)="","",INDEX('Прайс и заказ'!I:I,$J528)))</f>
      </c>
      <c r="G528" s="63" t="str">
        <f>IF($J528=0,"",IF(INDEX('Прайс и заказ'!K:K,$J528)="","",INDEX('Прайс и заказ'!K:K,$J528)))</f>
      </c>
      <c r="H528" s="62" t="str">
        <f>IF($J528=0,"",IF(INDEX('Прайс и заказ'!L:L,$J528)="","",INDEX('Прайс и заказ'!L:L,$J528)))</f>
      </c>
      <c r="I528" s="13" t="str">
        <f>IF($J528=0,"",IF(INDEX('Прайс и заказ'!M:M,$J528)="","",INDEX('Прайс и заказ'!M:M,$J528)))</f>
      </c>
      <c r="J528" t="str">
        <f>IFERROR(MATCH(520,'Прайс и заказ'!$N$7:$N$623,0)+6,0)</f>
      </c>
      <c r="L528" t="str">
        <f>IF($J528=0,"",IF(INDEX('Прайс и заказ'!Q:Q,$J528)="","",INDEX('Прайс и заказ'!Q:Q,$J528)))</f>
      </c>
    </row>
    <row r="529" spans="1:12" customHeight="1" ht="40">
      <c r="A529" s="13" t="str">
        <f>IF($J529=0,"",IFERROR(_xlfn.IMAGE(INDEX('Прайс и заказ'!$O:$O,$J529)),""))</f>
      </c>
      <c r="B529" s="61" t="str">
        <f>IF($J529=0,"",IF(INDEX('Прайс и заказ'!B:B,$J529)="","",INDEX('Прайс и заказ'!B:B,$J529)))</f>
      </c>
      <c r="C529" s="64" t="str">
        <f>IF($J529=0,"",IF(INDEX('Прайс и заказ'!C:C,$J529)="","",INDEX('Прайс и заказ'!C:C,$J529)))</f>
      </c>
      <c r="D529" s="64" t="str">
        <f>IF($J529=0,"",IF(INDEX('Прайс и заказ'!D:D,$J529)="","",INDEX('Прайс и заказ'!D:D,$J529)))</f>
      </c>
      <c r="E529" s="61" t="str">
        <f>IF($J529=0,"",IF(INDEX('Прайс и заказ'!F:F,$J529)="","",INDEX('Прайс и заказ'!F:F,$J529)))</f>
      </c>
      <c r="F529" s="62" t="str">
        <f>IF($J529=0,"",IF(INDEX('Прайс и заказ'!I:I,$J529)="","",INDEX('Прайс и заказ'!I:I,$J529)))</f>
      </c>
      <c r="G529" s="63" t="str">
        <f>IF($J529=0,"",IF(INDEX('Прайс и заказ'!K:K,$J529)="","",INDEX('Прайс и заказ'!K:K,$J529)))</f>
      </c>
      <c r="H529" s="62" t="str">
        <f>IF($J529=0,"",IF(INDEX('Прайс и заказ'!L:L,$J529)="","",INDEX('Прайс и заказ'!L:L,$J529)))</f>
      </c>
      <c r="I529" s="13" t="str">
        <f>IF($J529=0,"",IF(INDEX('Прайс и заказ'!M:M,$J529)="","",INDEX('Прайс и заказ'!M:M,$J529)))</f>
      </c>
      <c r="J529" t="str">
        <f>IFERROR(MATCH(521,'Прайс и заказ'!$N$7:$N$623,0)+6,0)</f>
      </c>
      <c r="L529" t="str">
        <f>IF($J529=0,"",IF(INDEX('Прайс и заказ'!Q:Q,$J529)="","",INDEX('Прайс и заказ'!Q:Q,$J529)))</f>
      </c>
    </row>
    <row r="530" spans="1:12" customHeight="1" ht="40">
      <c r="A530" s="13" t="str">
        <f>IF($J530=0,"",IFERROR(_xlfn.IMAGE(INDEX('Прайс и заказ'!$O:$O,$J530)),""))</f>
      </c>
      <c r="B530" s="61" t="str">
        <f>IF($J530=0,"",IF(INDEX('Прайс и заказ'!B:B,$J530)="","",INDEX('Прайс и заказ'!B:B,$J530)))</f>
      </c>
      <c r="C530" s="64" t="str">
        <f>IF($J530=0,"",IF(INDEX('Прайс и заказ'!C:C,$J530)="","",INDEX('Прайс и заказ'!C:C,$J530)))</f>
      </c>
      <c r="D530" s="64" t="str">
        <f>IF($J530=0,"",IF(INDEX('Прайс и заказ'!D:D,$J530)="","",INDEX('Прайс и заказ'!D:D,$J530)))</f>
      </c>
      <c r="E530" s="61" t="str">
        <f>IF($J530=0,"",IF(INDEX('Прайс и заказ'!F:F,$J530)="","",INDEX('Прайс и заказ'!F:F,$J530)))</f>
      </c>
      <c r="F530" s="62" t="str">
        <f>IF($J530=0,"",IF(INDEX('Прайс и заказ'!I:I,$J530)="","",INDEX('Прайс и заказ'!I:I,$J530)))</f>
      </c>
      <c r="G530" s="63" t="str">
        <f>IF($J530=0,"",IF(INDEX('Прайс и заказ'!K:K,$J530)="","",INDEX('Прайс и заказ'!K:K,$J530)))</f>
      </c>
      <c r="H530" s="62" t="str">
        <f>IF($J530=0,"",IF(INDEX('Прайс и заказ'!L:L,$J530)="","",INDEX('Прайс и заказ'!L:L,$J530)))</f>
      </c>
      <c r="I530" s="13" t="str">
        <f>IF($J530=0,"",IF(INDEX('Прайс и заказ'!M:M,$J530)="","",INDEX('Прайс и заказ'!M:M,$J530)))</f>
      </c>
      <c r="J530" t="str">
        <f>IFERROR(MATCH(522,'Прайс и заказ'!$N$7:$N$623,0)+6,0)</f>
      </c>
      <c r="L530" t="str">
        <f>IF($J530=0,"",IF(INDEX('Прайс и заказ'!Q:Q,$J530)="","",INDEX('Прайс и заказ'!Q:Q,$J530)))</f>
      </c>
    </row>
    <row r="531" spans="1:12" customHeight="1" ht="40">
      <c r="A531" s="13" t="str">
        <f>IF($J531=0,"",IFERROR(_xlfn.IMAGE(INDEX('Прайс и заказ'!$O:$O,$J531)),""))</f>
      </c>
      <c r="B531" s="61" t="str">
        <f>IF($J531=0,"",IF(INDEX('Прайс и заказ'!B:B,$J531)="","",INDEX('Прайс и заказ'!B:B,$J531)))</f>
      </c>
      <c r="C531" s="64" t="str">
        <f>IF($J531=0,"",IF(INDEX('Прайс и заказ'!C:C,$J531)="","",INDEX('Прайс и заказ'!C:C,$J531)))</f>
      </c>
      <c r="D531" s="64" t="str">
        <f>IF($J531=0,"",IF(INDEX('Прайс и заказ'!D:D,$J531)="","",INDEX('Прайс и заказ'!D:D,$J531)))</f>
      </c>
      <c r="E531" s="61" t="str">
        <f>IF($J531=0,"",IF(INDEX('Прайс и заказ'!F:F,$J531)="","",INDEX('Прайс и заказ'!F:F,$J531)))</f>
      </c>
      <c r="F531" s="62" t="str">
        <f>IF($J531=0,"",IF(INDEX('Прайс и заказ'!I:I,$J531)="","",INDEX('Прайс и заказ'!I:I,$J531)))</f>
      </c>
      <c r="G531" s="63" t="str">
        <f>IF($J531=0,"",IF(INDEX('Прайс и заказ'!K:K,$J531)="","",INDEX('Прайс и заказ'!K:K,$J531)))</f>
      </c>
      <c r="H531" s="62" t="str">
        <f>IF($J531=0,"",IF(INDEX('Прайс и заказ'!L:L,$J531)="","",INDEX('Прайс и заказ'!L:L,$J531)))</f>
      </c>
      <c r="I531" s="13" t="str">
        <f>IF($J531=0,"",IF(INDEX('Прайс и заказ'!M:M,$J531)="","",INDEX('Прайс и заказ'!M:M,$J531)))</f>
      </c>
      <c r="J531" t="str">
        <f>IFERROR(MATCH(523,'Прайс и заказ'!$N$7:$N$623,0)+6,0)</f>
      </c>
      <c r="L531" t="str">
        <f>IF($J531=0,"",IF(INDEX('Прайс и заказ'!Q:Q,$J531)="","",INDEX('Прайс и заказ'!Q:Q,$J531)))</f>
      </c>
    </row>
    <row r="532" spans="1:12" customHeight="1" ht="40">
      <c r="A532" s="13" t="str">
        <f>IF($J532=0,"",IFERROR(_xlfn.IMAGE(INDEX('Прайс и заказ'!$O:$O,$J532)),""))</f>
      </c>
      <c r="B532" s="61" t="str">
        <f>IF($J532=0,"",IF(INDEX('Прайс и заказ'!B:B,$J532)="","",INDEX('Прайс и заказ'!B:B,$J532)))</f>
      </c>
      <c r="C532" s="64" t="str">
        <f>IF($J532=0,"",IF(INDEX('Прайс и заказ'!C:C,$J532)="","",INDEX('Прайс и заказ'!C:C,$J532)))</f>
      </c>
      <c r="D532" s="64" t="str">
        <f>IF($J532=0,"",IF(INDEX('Прайс и заказ'!D:D,$J532)="","",INDEX('Прайс и заказ'!D:D,$J532)))</f>
      </c>
      <c r="E532" s="61" t="str">
        <f>IF($J532=0,"",IF(INDEX('Прайс и заказ'!F:F,$J532)="","",INDEX('Прайс и заказ'!F:F,$J532)))</f>
      </c>
      <c r="F532" s="62" t="str">
        <f>IF($J532=0,"",IF(INDEX('Прайс и заказ'!I:I,$J532)="","",INDEX('Прайс и заказ'!I:I,$J532)))</f>
      </c>
      <c r="G532" s="63" t="str">
        <f>IF($J532=0,"",IF(INDEX('Прайс и заказ'!K:K,$J532)="","",INDEX('Прайс и заказ'!K:K,$J532)))</f>
      </c>
      <c r="H532" s="62" t="str">
        <f>IF($J532=0,"",IF(INDEX('Прайс и заказ'!L:L,$J532)="","",INDEX('Прайс и заказ'!L:L,$J532)))</f>
      </c>
      <c r="I532" s="13" t="str">
        <f>IF($J532=0,"",IF(INDEX('Прайс и заказ'!M:M,$J532)="","",INDEX('Прайс и заказ'!M:M,$J532)))</f>
      </c>
      <c r="J532" t="str">
        <f>IFERROR(MATCH(524,'Прайс и заказ'!$N$7:$N$623,0)+6,0)</f>
      </c>
      <c r="L532" t="str">
        <f>IF($J532=0,"",IF(INDEX('Прайс и заказ'!Q:Q,$J532)="","",INDEX('Прайс и заказ'!Q:Q,$J532)))</f>
      </c>
    </row>
    <row r="533" spans="1:12" customHeight="1" ht="40">
      <c r="A533" s="13" t="str">
        <f>IF($J533=0,"",IFERROR(_xlfn.IMAGE(INDEX('Прайс и заказ'!$O:$O,$J533)),""))</f>
      </c>
      <c r="B533" s="61" t="str">
        <f>IF($J533=0,"",IF(INDEX('Прайс и заказ'!B:B,$J533)="","",INDEX('Прайс и заказ'!B:B,$J533)))</f>
      </c>
      <c r="C533" s="64" t="str">
        <f>IF($J533=0,"",IF(INDEX('Прайс и заказ'!C:C,$J533)="","",INDEX('Прайс и заказ'!C:C,$J533)))</f>
      </c>
      <c r="D533" s="64" t="str">
        <f>IF($J533=0,"",IF(INDEX('Прайс и заказ'!D:D,$J533)="","",INDEX('Прайс и заказ'!D:D,$J533)))</f>
      </c>
      <c r="E533" s="61" t="str">
        <f>IF($J533=0,"",IF(INDEX('Прайс и заказ'!F:F,$J533)="","",INDEX('Прайс и заказ'!F:F,$J533)))</f>
      </c>
      <c r="F533" s="62" t="str">
        <f>IF($J533=0,"",IF(INDEX('Прайс и заказ'!I:I,$J533)="","",INDEX('Прайс и заказ'!I:I,$J533)))</f>
      </c>
      <c r="G533" s="63" t="str">
        <f>IF($J533=0,"",IF(INDEX('Прайс и заказ'!K:K,$J533)="","",INDEX('Прайс и заказ'!K:K,$J533)))</f>
      </c>
      <c r="H533" s="62" t="str">
        <f>IF($J533=0,"",IF(INDEX('Прайс и заказ'!L:L,$J533)="","",INDEX('Прайс и заказ'!L:L,$J533)))</f>
      </c>
      <c r="I533" s="13" t="str">
        <f>IF($J533=0,"",IF(INDEX('Прайс и заказ'!M:M,$J533)="","",INDEX('Прайс и заказ'!M:M,$J533)))</f>
      </c>
      <c r="J533" t="str">
        <f>IFERROR(MATCH(525,'Прайс и заказ'!$N$7:$N$623,0)+6,0)</f>
      </c>
      <c r="L533" t="str">
        <f>IF($J533=0,"",IF(INDEX('Прайс и заказ'!Q:Q,$J533)="","",INDEX('Прайс и заказ'!Q:Q,$J533)))</f>
      </c>
    </row>
    <row r="534" spans="1:12" customHeight="1" ht="40">
      <c r="A534" s="13" t="str">
        <f>IF($J534=0,"",IFERROR(_xlfn.IMAGE(INDEX('Прайс и заказ'!$O:$O,$J534)),""))</f>
      </c>
      <c r="B534" s="61" t="str">
        <f>IF($J534=0,"",IF(INDEX('Прайс и заказ'!B:B,$J534)="","",INDEX('Прайс и заказ'!B:B,$J534)))</f>
      </c>
      <c r="C534" s="64" t="str">
        <f>IF($J534=0,"",IF(INDEX('Прайс и заказ'!C:C,$J534)="","",INDEX('Прайс и заказ'!C:C,$J534)))</f>
      </c>
      <c r="D534" s="64" t="str">
        <f>IF($J534=0,"",IF(INDEX('Прайс и заказ'!D:D,$J534)="","",INDEX('Прайс и заказ'!D:D,$J534)))</f>
      </c>
      <c r="E534" s="61" t="str">
        <f>IF($J534=0,"",IF(INDEX('Прайс и заказ'!F:F,$J534)="","",INDEX('Прайс и заказ'!F:F,$J534)))</f>
      </c>
      <c r="F534" s="62" t="str">
        <f>IF($J534=0,"",IF(INDEX('Прайс и заказ'!I:I,$J534)="","",INDEX('Прайс и заказ'!I:I,$J534)))</f>
      </c>
      <c r="G534" s="63" t="str">
        <f>IF($J534=0,"",IF(INDEX('Прайс и заказ'!K:K,$J534)="","",INDEX('Прайс и заказ'!K:K,$J534)))</f>
      </c>
      <c r="H534" s="62" t="str">
        <f>IF($J534=0,"",IF(INDEX('Прайс и заказ'!L:L,$J534)="","",INDEX('Прайс и заказ'!L:L,$J534)))</f>
      </c>
      <c r="I534" s="13" t="str">
        <f>IF($J534=0,"",IF(INDEX('Прайс и заказ'!M:M,$J534)="","",INDEX('Прайс и заказ'!M:M,$J534)))</f>
      </c>
      <c r="J534" t="str">
        <f>IFERROR(MATCH(526,'Прайс и заказ'!$N$7:$N$623,0)+6,0)</f>
      </c>
      <c r="L534" t="str">
        <f>IF($J534=0,"",IF(INDEX('Прайс и заказ'!Q:Q,$J534)="","",INDEX('Прайс и заказ'!Q:Q,$J534)))</f>
      </c>
    </row>
    <row r="535" spans="1:12" customHeight="1" ht="40">
      <c r="A535" s="13" t="str">
        <f>IF($J535=0,"",IFERROR(_xlfn.IMAGE(INDEX('Прайс и заказ'!$O:$O,$J535)),""))</f>
      </c>
      <c r="B535" s="61" t="str">
        <f>IF($J535=0,"",IF(INDEX('Прайс и заказ'!B:B,$J535)="","",INDEX('Прайс и заказ'!B:B,$J535)))</f>
      </c>
      <c r="C535" s="64" t="str">
        <f>IF($J535=0,"",IF(INDEX('Прайс и заказ'!C:C,$J535)="","",INDEX('Прайс и заказ'!C:C,$J535)))</f>
      </c>
      <c r="D535" s="64" t="str">
        <f>IF($J535=0,"",IF(INDEX('Прайс и заказ'!D:D,$J535)="","",INDEX('Прайс и заказ'!D:D,$J535)))</f>
      </c>
      <c r="E535" s="61" t="str">
        <f>IF($J535=0,"",IF(INDEX('Прайс и заказ'!F:F,$J535)="","",INDEX('Прайс и заказ'!F:F,$J535)))</f>
      </c>
      <c r="F535" s="62" t="str">
        <f>IF($J535=0,"",IF(INDEX('Прайс и заказ'!I:I,$J535)="","",INDEX('Прайс и заказ'!I:I,$J535)))</f>
      </c>
      <c r="G535" s="63" t="str">
        <f>IF($J535=0,"",IF(INDEX('Прайс и заказ'!K:K,$J535)="","",INDEX('Прайс и заказ'!K:K,$J535)))</f>
      </c>
      <c r="H535" s="62" t="str">
        <f>IF($J535=0,"",IF(INDEX('Прайс и заказ'!L:L,$J535)="","",INDEX('Прайс и заказ'!L:L,$J535)))</f>
      </c>
      <c r="I535" s="13" t="str">
        <f>IF($J535=0,"",IF(INDEX('Прайс и заказ'!M:M,$J535)="","",INDEX('Прайс и заказ'!M:M,$J535)))</f>
      </c>
      <c r="J535" t="str">
        <f>IFERROR(MATCH(527,'Прайс и заказ'!$N$7:$N$623,0)+6,0)</f>
      </c>
      <c r="L535" t="str">
        <f>IF($J535=0,"",IF(INDEX('Прайс и заказ'!Q:Q,$J535)="","",INDEX('Прайс и заказ'!Q:Q,$J535)))</f>
      </c>
    </row>
    <row r="536" spans="1:12" customHeight="1" ht="40">
      <c r="A536" s="13" t="str">
        <f>IF($J536=0,"",IFERROR(_xlfn.IMAGE(INDEX('Прайс и заказ'!$O:$O,$J536)),""))</f>
      </c>
      <c r="B536" s="61" t="str">
        <f>IF($J536=0,"",IF(INDEX('Прайс и заказ'!B:B,$J536)="","",INDEX('Прайс и заказ'!B:B,$J536)))</f>
      </c>
      <c r="C536" s="64" t="str">
        <f>IF($J536=0,"",IF(INDEX('Прайс и заказ'!C:C,$J536)="","",INDEX('Прайс и заказ'!C:C,$J536)))</f>
      </c>
      <c r="D536" s="64" t="str">
        <f>IF($J536=0,"",IF(INDEX('Прайс и заказ'!D:D,$J536)="","",INDEX('Прайс и заказ'!D:D,$J536)))</f>
      </c>
      <c r="E536" s="61" t="str">
        <f>IF($J536=0,"",IF(INDEX('Прайс и заказ'!F:F,$J536)="","",INDEX('Прайс и заказ'!F:F,$J536)))</f>
      </c>
      <c r="F536" s="62" t="str">
        <f>IF($J536=0,"",IF(INDEX('Прайс и заказ'!I:I,$J536)="","",INDEX('Прайс и заказ'!I:I,$J536)))</f>
      </c>
      <c r="G536" s="63" t="str">
        <f>IF($J536=0,"",IF(INDEX('Прайс и заказ'!K:K,$J536)="","",INDEX('Прайс и заказ'!K:K,$J536)))</f>
      </c>
      <c r="H536" s="62" t="str">
        <f>IF($J536=0,"",IF(INDEX('Прайс и заказ'!L:L,$J536)="","",INDEX('Прайс и заказ'!L:L,$J536)))</f>
      </c>
      <c r="I536" s="13" t="str">
        <f>IF($J536=0,"",IF(INDEX('Прайс и заказ'!M:M,$J536)="","",INDEX('Прайс и заказ'!M:M,$J536)))</f>
      </c>
      <c r="J536" t="str">
        <f>IFERROR(MATCH(528,'Прайс и заказ'!$N$7:$N$623,0)+6,0)</f>
      </c>
      <c r="L536" t="str">
        <f>IF($J536=0,"",IF(INDEX('Прайс и заказ'!Q:Q,$J536)="","",INDEX('Прайс и заказ'!Q:Q,$J536)))</f>
      </c>
    </row>
    <row r="537" spans="1:12" customHeight="1" ht="40">
      <c r="A537" s="13" t="str">
        <f>IF($J537=0,"",IFERROR(_xlfn.IMAGE(INDEX('Прайс и заказ'!$O:$O,$J537)),""))</f>
      </c>
      <c r="B537" s="61" t="str">
        <f>IF($J537=0,"",IF(INDEX('Прайс и заказ'!B:B,$J537)="","",INDEX('Прайс и заказ'!B:B,$J537)))</f>
      </c>
      <c r="C537" s="64" t="str">
        <f>IF($J537=0,"",IF(INDEX('Прайс и заказ'!C:C,$J537)="","",INDEX('Прайс и заказ'!C:C,$J537)))</f>
      </c>
      <c r="D537" s="64" t="str">
        <f>IF($J537=0,"",IF(INDEX('Прайс и заказ'!D:D,$J537)="","",INDEX('Прайс и заказ'!D:D,$J537)))</f>
      </c>
      <c r="E537" s="61" t="str">
        <f>IF($J537=0,"",IF(INDEX('Прайс и заказ'!F:F,$J537)="","",INDEX('Прайс и заказ'!F:F,$J537)))</f>
      </c>
      <c r="F537" s="62" t="str">
        <f>IF($J537=0,"",IF(INDEX('Прайс и заказ'!I:I,$J537)="","",INDEX('Прайс и заказ'!I:I,$J537)))</f>
      </c>
      <c r="G537" s="63" t="str">
        <f>IF($J537=0,"",IF(INDEX('Прайс и заказ'!K:K,$J537)="","",INDEX('Прайс и заказ'!K:K,$J537)))</f>
      </c>
      <c r="H537" s="62" t="str">
        <f>IF($J537=0,"",IF(INDEX('Прайс и заказ'!L:L,$J537)="","",INDEX('Прайс и заказ'!L:L,$J537)))</f>
      </c>
      <c r="I537" s="13" t="str">
        <f>IF($J537=0,"",IF(INDEX('Прайс и заказ'!M:M,$J537)="","",INDEX('Прайс и заказ'!M:M,$J537)))</f>
      </c>
      <c r="J537" t="str">
        <f>IFERROR(MATCH(529,'Прайс и заказ'!$N$7:$N$623,0)+6,0)</f>
      </c>
      <c r="L537" t="str">
        <f>IF($J537=0,"",IF(INDEX('Прайс и заказ'!Q:Q,$J537)="","",INDEX('Прайс и заказ'!Q:Q,$J537)))</f>
      </c>
    </row>
    <row r="538" spans="1:12" customHeight="1" ht="40">
      <c r="A538" s="13" t="str">
        <f>IF($J538=0,"",IFERROR(_xlfn.IMAGE(INDEX('Прайс и заказ'!$O:$O,$J538)),""))</f>
      </c>
      <c r="B538" s="61" t="str">
        <f>IF($J538=0,"",IF(INDEX('Прайс и заказ'!B:B,$J538)="","",INDEX('Прайс и заказ'!B:B,$J538)))</f>
      </c>
      <c r="C538" s="64" t="str">
        <f>IF($J538=0,"",IF(INDEX('Прайс и заказ'!C:C,$J538)="","",INDEX('Прайс и заказ'!C:C,$J538)))</f>
      </c>
      <c r="D538" s="64" t="str">
        <f>IF($J538=0,"",IF(INDEX('Прайс и заказ'!D:D,$J538)="","",INDEX('Прайс и заказ'!D:D,$J538)))</f>
      </c>
      <c r="E538" s="61" t="str">
        <f>IF($J538=0,"",IF(INDEX('Прайс и заказ'!F:F,$J538)="","",INDEX('Прайс и заказ'!F:F,$J538)))</f>
      </c>
      <c r="F538" s="62" t="str">
        <f>IF($J538=0,"",IF(INDEX('Прайс и заказ'!I:I,$J538)="","",INDEX('Прайс и заказ'!I:I,$J538)))</f>
      </c>
      <c r="G538" s="63" t="str">
        <f>IF($J538=0,"",IF(INDEX('Прайс и заказ'!K:K,$J538)="","",INDEX('Прайс и заказ'!K:K,$J538)))</f>
      </c>
      <c r="H538" s="62" t="str">
        <f>IF($J538=0,"",IF(INDEX('Прайс и заказ'!L:L,$J538)="","",INDEX('Прайс и заказ'!L:L,$J538)))</f>
      </c>
      <c r="I538" s="13" t="str">
        <f>IF($J538=0,"",IF(INDEX('Прайс и заказ'!M:M,$J538)="","",INDEX('Прайс и заказ'!M:M,$J538)))</f>
      </c>
      <c r="J538" t="str">
        <f>IFERROR(MATCH(530,'Прайс и заказ'!$N$7:$N$623,0)+6,0)</f>
      </c>
      <c r="L538" t="str">
        <f>IF($J538=0,"",IF(INDEX('Прайс и заказ'!Q:Q,$J538)="","",INDEX('Прайс и заказ'!Q:Q,$J538)))</f>
      </c>
    </row>
    <row r="539" spans="1:12" customHeight="1" ht="40">
      <c r="A539" s="13" t="str">
        <f>IF($J539=0,"",IFERROR(_xlfn.IMAGE(INDEX('Прайс и заказ'!$O:$O,$J539)),""))</f>
      </c>
      <c r="B539" s="61" t="str">
        <f>IF($J539=0,"",IF(INDEX('Прайс и заказ'!B:B,$J539)="","",INDEX('Прайс и заказ'!B:B,$J539)))</f>
      </c>
      <c r="C539" s="64" t="str">
        <f>IF($J539=0,"",IF(INDEX('Прайс и заказ'!C:C,$J539)="","",INDEX('Прайс и заказ'!C:C,$J539)))</f>
      </c>
      <c r="D539" s="64" t="str">
        <f>IF($J539=0,"",IF(INDEX('Прайс и заказ'!D:D,$J539)="","",INDEX('Прайс и заказ'!D:D,$J539)))</f>
      </c>
      <c r="E539" s="61" t="str">
        <f>IF($J539=0,"",IF(INDEX('Прайс и заказ'!F:F,$J539)="","",INDEX('Прайс и заказ'!F:F,$J539)))</f>
      </c>
      <c r="F539" s="62" t="str">
        <f>IF($J539=0,"",IF(INDEX('Прайс и заказ'!I:I,$J539)="","",INDEX('Прайс и заказ'!I:I,$J539)))</f>
      </c>
      <c r="G539" s="63" t="str">
        <f>IF($J539=0,"",IF(INDEX('Прайс и заказ'!K:K,$J539)="","",INDEX('Прайс и заказ'!K:K,$J539)))</f>
      </c>
      <c r="H539" s="62" t="str">
        <f>IF($J539=0,"",IF(INDEX('Прайс и заказ'!L:L,$J539)="","",INDEX('Прайс и заказ'!L:L,$J539)))</f>
      </c>
      <c r="I539" s="13" t="str">
        <f>IF($J539=0,"",IF(INDEX('Прайс и заказ'!M:M,$J539)="","",INDEX('Прайс и заказ'!M:M,$J539)))</f>
      </c>
      <c r="J539" t="str">
        <f>IFERROR(MATCH(531,'Прайс и заказ'!$N$7:$N$623,0)+6,0)</f>
      </c>
      <c r="L539" t="str">
        <f>IF($J539=0,"",IF(INDEX('Прайс и заказ'!Q:Q,$J539)="","",INDEX('Прайс и заказ'!Q:Q,$J539)))</f>
      </c>
    </row>
    <row r="540" spans="1:12" customHeight="1" ht="40">
      <c r="A540" s="13" t="str">
        <f>IF($J540=0,"",IFERROR(_xlfn.IMAGE(INDEX('Прайс и заказ'!$O:$O,$J540)),""))</f>
      </c>
      <c r="B540" s="61" t="str">
        <f>IF($J540=0,"",IF(INDEX('Прайс и заказ'!B:B,$J540)="","",INDEX('Прайс и заказ'!B:B,$J540)))</f>
      </c>
      <c r="C540" s="64" t="str">
        <f>IF($J540=0,"",IF(INDEX('Прайс и заказ'!C:C,$J540)="","",INDEX('Прайс и заказ'!C:C,$J540)))</f>
      </c>
      <c r="D540" s="64" t="str">
        <f>IF($J540=0,"",IF(INDEX('Прайс и заказ'!D:D,$J540)="","",INDEX('Прайс и заказ'!D:D,$J540)))</f>
      </c>
      <c r="E540" s="61" t="str">
        <f>IF($J540=0,"",IF(INDEX('Прайс и заказ'!F:F,$J540)="","",INDEX('Прайс и заказ'!F:F,$J540)))</f>
      </c>
      <c r="F540" s="62" t="str">
        <f>IF($J540=0,"",IF(INDEX('Прайс и заказ'!I:I,$J540)="","",INDEX('Прайс и заказ'!I:I,$J540)))</f>
      </c>
      <c r="G540" s="63" t="str">
        <f>IF($J540=0,"",IF(INDEX('Прайс и заказ'!K:K,$J540)="","",INDEX('Прайс и заказ'!K:K,$J540)))</f>
      </c>
      <c r="H540" s="62" t="str">
        <f>IF($J540=0,"",IF(INDEX('Прайс и заказ'!L:L,$J540)="","",INDEX('Прайс и заказ'!L:L,$J540)))</f>
      </c>
      <c r="I540" s="13" t="str">
        <f>IF($J540=0,"",IF(INDEX('Прайс и заказ'!M:M,$J540)="","",INDEX('Прайс и заказ'!M:M,$J540)))</f>
      </c>
      <c r="J540" t="str">
        <f>IFERROR(MATCH(532,'Прайс и заказ'!$N$7:$N$623,0)+6,0)</f>
      </c>
      <c r="L540" t="str">
        <f>IF($J540=0,"",IF(INDEX('Прайс и заказ'!Q:Q,$J540)="","",INDEX('Прайс и заказ'!Q:Q,$J540)))</f>
      </c>
    </row>
    <row r="541" spans="1:12" customHeight="1" ht="40">
      <c r="A541" s="13" t="str">
        <f>IF($J541=0,"",IFERROR(_xlfn.IMAGE(INDEX('Прайс и заказ'!$O:$O,$J541)),""))</f>
      </c>
      <c r="B541" s="61" t="str">
        <f>IF($J541=0,"",IF(INDEX('Прайс и заказ'!B:B,$J541)="","",INDEX('Прайс и заказ'!B:B,$J541)))</f>
      </c>
      <c r="C541" s="64" t="str">
        <f>IF($J541=0,"",IF(INDEX('Прайс и заказ'!C:C,$J541)="","",INDEX('Прайс и заказ'!C:C,$J541)))</f>
      </c>
      <c r="D541" s="64" t="str">
        <f>IF($J541=0,"",IF(INDEX('Прайс и заказ'!D:D,$J541)="","",INDEX('Прайс и заказ'!D:D,$J541)))</f>
      </c>
      <c r="E541" s="61" t="str">
        <f>IF($J541=0,"",IF(INDEX('Прайс и заказ'!F:F,$J541)="","",INDEX('Прайс и заказ'!F:F,$J541)))</f>
      </c>
      <c r="F541" s="62" t="str">
        <f>IF($J541=0,"",IF(INDEX('Прайс и заказ'!I:I,$J541)="","",INDEX('Прайс и заказ'!I:I,$J541)))</f>
      </c>
      <c r="G541" s="63" t="str">
        <f>IF($J541=0,"",IF(INDEX('Прайс и заказ'!K:K,$J541)="","",INDEX('Прайс и заказ'!K:K,$J541)))</f>
      </c>
      <c r="H541" s="62" t="str">
        <f>IF($J541=0,"",IF(INDEX('Прайс и заказ'!L:L,$J541)="","",INDEX('Прайс и заказ'!L:L,$J541)))</f>
      </c>
      <c r="I541" s="13" t="str">
        <f>IF($J541=0,"",IF(INDEX('Прайс и заказ'!M:M,$J541)="","",INDEX('Прайс и заказ'!M:M,$J541)))</f>
      </c>
      <c r="J541" t="str">
        <f>IFERROR(MATCH(533,'Прайс и заказ'!$N$7:$N$623,0)+6,0)</f>
      </c>
      <c r="L541" t="str">
        <f>IF($J541=0,"",IF(INDEX('Прайс и заказ'!Q:Q,$J541)="","",INDEX('Прайс и заказ'!Q:Q,$J541)))</f>
      </c>
    </row>
    <row r="542" spans="1:12" customHeight="1" ht="40">
      <c r="A542" s="13" t="str">
        <f>IF($J542=0,"",IFERROR(_xlfn.IMAGE(INDEX('Прайс и заказ'!$O:$O,$J542)),""))</f>
      </c>
      <c r="B542" s="61" t="str">
        <f>IF($J542=0,"",IF(INDEX('Прайс и заказ'!B:B,$J542)="","",INDEX('Прайс и заказ'!B:B,$J542)))</f>
      </c>
      <c r="C542" s="64" t="str">
        <f>IF($J542=0,"",IF(INDEX('Прайс и заказ'!C:C,$J542)="","",INDEX('Прайс и заказ'!C:C,$J542)))</f>
      </c>
      <c r="D542" s="64" t="str">
        <f>IF($J542=0,"",IF(INDEX('Прайс и заказ'!D:D,$J542)="","",INDEX('Прайс и заказ'!D:D,$J542)))</f>
      </c>
      <c r="E542" s="61" t="str">
        <f>IF($J542=0,"",IF(INDEX('Прайс и заказ'!F:F,$J542)="","",INDEX('Прайс и заказ'!F:F,$J542)))</f>
      </c>
      <c r="F542" s="62" t="str">
        <f>IF($J542=0,"",IF(INDEX('Прайс и заказ'!I:I,$J542)="","",INDEX('Прайс и заказ'!I:I,$J542)))</f>
      </c>
      <c r="G542" s="63" t="str">
        <f>IF($J542=0,"",IF(INDEX('Прайс и заказ'!K:K,$J542)="","",INDEX('Прайс и заказ'!K:K,$J542)))</f>
      </c>
      <c r="H542" s="62" t="str">
        <f>IF($J542=0,"",IF(INDEX('Прайс и заказ'!L:L,$J542)="","",INDEX('Прайс и заказ'!L:L,$J542)))</f>
      </c>
      <c r="I542" s="13" t="str">
        <f>IF($J542=0,"",IF(INDEX('Прайс и заказ'!M:M,$J542)="","",INDEX('Прайс и заказ'!M:M,$J542)))</f>
      </c>
      <c r="J542" t="str">
        <f>IFERROR(MATCH(534,'Прайс и заказ'!$N$7:$N$623,0)+6,0)</f>
      </c>
      <c r="L542" t="str">
        <f>IF($J542=0,"",IF(INDEX('Прайс и заказ'!Q:Q,$J542)="","",INDEX('Прайс и заказ'!Q:Q,$J542)))</f>
      </c>
    </row>
    <row r="543" spans="1:12" customHeight="1" ht="40">
      <c r="A543" s="13" t="str">
        <f>IF($J543=0,"",IFERROR(_xlfn.IMAGE(INDEX('Прайс и заказ'!$O:$O,$J543)),""))</f>
      </c>
      <c r="B543" s="61" t="str">
        <f>IF($J543=0,"",IF(INDEX('Прайс и заказ'!B:B,$J543)="","",INDEX('Прайс и заказ'!B:B,$J543)))</f>
      </c>
      <c r="C543" s="64" t="str">
        <f>IF($J543=0,"",IF(INDEX('Прайс и заказ'!C:C,$J543)="","",INDEX('Прайс и заказ'!C:C,$J543)))</f>
      </c>
      <c r="D543" s="64" t="str">
        <f>IF($J543=0,"",IF(INDEX('Прайс и заказ'!D:D,$J543)="","",INDEX('Прайс и заказ'!D:D,$J543)))</f>
      </c>
      <c r="E543" s="61" t="str">
        <f>IF($J543=0,"",IF(INDEX('Прайс и заказ'!F:F,$J543)="","",INDEX('Прайс и заказ'!F:F,$J543)))</f>
      </c>
      <c r="F543" s="62" t="str">
        <f>IF($J543=0,"",IF(INDEX('Прайс и заказ'!I:I,$J543)="","",INDEX('Прайс и заказ'!I:I,$J543)))</f>
      </c>
      <c r="G543" s="63" t="str">
        <f>IF($J543=0,"",IF(INDEX('Прайс и заказ'!K:K,$J543)="","",INDEX('Прайс и заказ'!K:K,$J543)))</f>
      </c>
      <c r="H543" s="62" t="str">
        <f>IF($J543=0,"",IF(INDEX('Прайс и заказ'!L:L,$J543)="","",INDEX('Прайс и заказ'!L:L,$J543)))</f>
      </c>
      <c r="I543" s="13" t="str">
        <f>IF($J543=0,"",IF(INDEX('Прайс и заказ'!M:M,$J543)="","",INDEX('Прайс и заказ'!M:M,$J543)))</f>
      </c>
      <c r="J543" t="str">
        <f>IFERROR(MATCH(535,'Прайс и заказ'!$N$7:$N$623,0)+6,0)</f>
      </c>
      <c r="L543" t="str">
        <f>IF($J543=0,"",IF(INDEX('Прайс и заказ'!Q:Q,$J543)="","",INDEX('Прайс и заказ'!Q:Q,$J543)))</f>
      </c>
    </row>
    <row r="544" spans="1:12" customHeight="1" ht="40">
      <c r="A544" s="13" t="str">
        <f>IF($J544=0,"",IFERROR(_xlfn.IMAGE(INDEX('Прайс и заказ'!$O:$O,$J544)),""))</f>
      </c>
      <c r="B544" s="61" t="str">
        <f>IF($J544=0,"",IF(INDEX('Прайс и заказ'!B:B,$J544)="","",INDEX('Прайс и заказ'!B:B,$J544)))</f>
      </c>
      <c r="C544" s="64" t="str">
        <f>IF($J544=0,"",IF(INDEX('Прайс и заказ'!C:C,$J544)="","",INDEX('Прайс и заказ'!C:C,$J544)))</f>
      </c>
      <c r="D544" s="64" t="str">
        <f>IF($J544=0,"",IF(INDEX('Прайс и заказ'!D:D,$J544)="","",INDEX('Прайс и заказ'!D:D,$J544)))</f>
      </c>
      <c r="E544" s="61" t="str">
        <f>IF($J544=0,"",IF(INDEX('Прайс и заказ'!F:F,$J544)="","",INDEX('Прайс и заказ'!F:F,$J544)))</f>
      </c>
      <c r="F544" s="62" t="str">
        <f>IF($J544=0,"",IF(INDEX('Прайс и заказ'!I:I,$J544)="","",INDEX('Прайс и заказ'!I:I,$J544)))</f>
      </c>
      <c r="G544" s="63" t="str">
        <f>IF($J544=0,"",IF(INDEX('Прайс и заказ'!K:K,$J544)="","",INDEX('Прайс и заказ'!K:K,$J544)))</f>
      </c>
      <c r="H544" s="62" t="str">
        <f>IF($J544=0,"",IF(INDEX('Прайс и заказ'!L:L,$J544)="","",INDEX('Прайс и заказ'!L:L,$J544)))</f>
      </c>
      <c r="I544" s="13" t="str">
        <f>IF($J544=0,"",IF(INDEX('Прайс и заказ'!M:M,$J544)="","",INDEX('Прайс и заказ'!M:M,$J544)))</f>
      </c>
      <c r="J544" t="str">
        <f>IFERROR(MATCH(536,'Прайс и заказ'!$N$7:$N$623,0)+6,0)</f>
      </c>
      <c r="L544" t="str">
        <f>IF($J544=0,"",IF(INDEX('Прайс и заказ'!Q:Q,$J544)="","",INDEX('Прайс и заказ'!Q:Q,$J544)))</f>
      </c>
    </row>
    <row r="545" spans="1:12" customHeight="1" ht="40">
      <c r="A545" s="13" t="str">
        <f>IF($J545=0,"",IFERROR(_xlfn.IMAGE(INDEX('Прайс и заказ'!$O:$O,$J545)),""))</f>
      </c>
      <c r="B545" s="61" t="str">
        <f>IF($J545=0,"",IF(INDEX('Прайс и заказ'!B:B,$J545)="","",INDEX('Прайс и заказ'!B:B,$J545)))</f>
      </c>
      <c r="C545" s="64" t="str">
        <f>IF($J545=0,"",IF(INDEX('Прайс и заказ'!C:C,$J545)="","",INDEX('Прайс и заказ'!C:C,$J545)))</f>
      </c>
      <c r="D545" s="64" t="str">
        <f>IF($J545=0,"",IF(INDEX('Прайс и заказ'!D:D,$J545)="","",INDEX('Прайс и заказ'!D:D,$J545)))</f>
      </c>
      <c r="E545" s="61" t="str">
        <f>IF($J545=0,"",IF(INDEX('Прайс и заказ'!F:F,$J545)="","",INDEX('Прайс и заказ'!F:F,$J545)))</f>
      </c>
      <c r="F545" s="62" t="str">
        <f>IF($J545=0,"",IF(INDEX('Прайс и заказ'!I:I,$J545)="","",INDEX('Прайс и заказ'!I:I,$J545)))</f>
      </c>
      <c r="G545" s="63" t="str">
        <f>IF($J545=0,"",IF(INDEX('Прайс и заказ'!K:K,$J545)="","",INDEX('Прайс и заказ'!K:K,$J545)))</f>
      </c>
      <c r="H545" s="62" t="str">
        <f>IF($J545=0,"",IF(INDEX('Прайс и заказ'!L:L,$J545)="","",INDEX('Прайс и заказ'!L:L,$J545)))</f>
      </c>
      <c r="I545" s="13" t="str">
        <f>IF($J545=0,"",IF(INDEX('Прайс и заказ'!M:M,$J545)="","",INDEX('Прайс и заказ'!M:M,$J545)))</f>
      </c>
      <c r="J545" t="str">
        <f>IFERROR(MATCH(537,'Прайс и заказ'!$N$7:$N$623,0)+6,0)</f>
      </c>
      <c r="L545" t="str">
        <f>IF($J545=0,"",IF(INDEX('Прайс и заказ'!Q:Q,$J545)="","",INDEX('Прайс и заказ'!Q:Q,$J545)))</f>
      </c>
    </row>
    <row r="546" spans="1:12" customHeight="1" ht="40">
      <c r="A546" s="13" t="str">
        <f>IF($J546=0,"",IFERROR(_xlfn.IMAGE(INDEX('Прайс и заказ'!$O:$O,$J546)),""))</f>
      </c>
      <c r="B546" s="61" t="str">
        <f>IF($J546=0,"",IF(INDEX('Прайс и заказ'!B:B,$J546)="","",INDEX('Прайс и заказ'!B:B,$J546)))</f>
      </c>
      <c r="C546" s="64" t="str">
        <f>IF($J546=0,"",IF(INDEX('Прайс и заказ'!C:C,$J546)="","",INDEX('Прайс и заказ'!C:C,$J546)))</f>
      </c>
      <c r="D546" s="64" t="str">
        <f>IF($J546=0,"",IF(INDEX('Прайс и заказ'!D:D,$J546)="","",INDEX('Прайс и заказ'!D:D,$J546)))</f>
      </c>
      <c r="E546" s="61" t="str">
        <f>IF($J546=0,"",IF(INDEX('Прайс и заказ'!F:F,$J546)="","",INDEX('Прайс и заказ'!F:F,$J546)))</f>
      </c>
      <c r="F546" s="62" t="str">
        <f>IF($J546=0,"",IF(INDEX('Прайс и заказ'!I:I,$J546)="","",INDEX('Прайс и заказ'!I:I,$J546)))</f>
      </c>
      <c r="G546" s="63" t="str">
        <f>IF($J546=0,"",IF(INDEX('Прайс и заказ'!K:K,$J546)="","",INDEX('Прайс и заказ'!K:K,$J546)))</f>
      </c>
      <c r="H546" s="62" t="str">
        <f>IF($J546=0,"",IF(INDEX('Прайс и заказ'!L:L,$J546)="","",INDEX('Прайс и заказ'!L:L,$J546)))</f>
      </c>
      <c r="I546" s="13" t="str">
        <f>IF($J546=0,"",IF(INDEX('Прайс и заказ'!M:M,$J546)="","",INDEX('Прайс и заказ'!M:M,$J546)))</f>
      </c>
      <c r="J546" t="str">
        <f>IFERROR(MATCH(538,'Прайс и заказ'!$N$7:$N$623,0)+6,0)</f>
      </c>
      <c r="L546" t="str">
        <f>IF($J546=0,"",IF(INDEX('Прайс и заказ'!Q:Q,$J546)="","",INDEX('Прайс и заказ'!Q:Q,$J546)))</f>
      </c>
    </row>
    <row r="547" spans="1:12" customHeight="1" ht="40">
      <c r="A547" s="13" t="str">
        <f>IF($J547=0,"",IFERROR(_xlfn.IMAGE(INDEX('Прайс и заказ'!$O:$O,$J547)),""))</f>
      </c>
      <c r="B547" s="61" t="str">
        <f>IF($J547=0,"",IF(INDEX('Прайс и заказ'!B:B,$J547)="","",INDEX('Прайс и заказ'!B:B,$J547)))</f>
      </c>
      <c r="C547" s="64" t="str">
        <f>IF($J547=0,"",IF(INDEX('Прайс и заказ'!C:C,$J547)="","",INDEX('Прайс и заказ'!C:C,$J547)))</f>
      </c>
      <c r="D547" s="64" t="str">
        <f>IF($J547=0,"",IF(INDEX('Прайс и заказ'!D:D,$J547)="","",INDEX('Прайс и заказ'!D:D,$J547)))</f>
      </c>
      <c r="E547" s="61" t="str">
        <f>IF($J547=0,"",IF(INDEX('Прайс и заказ'!F:F,$J547)="","",INDEX('Прайс и заказ'!F:F,$J547)))</f>
      </c>
      <c r="F547" s="62" t="str">
        <f>IF($J547=0,"",IF(INDEX('Прайс и заказ'!I:I,$J547)="","",INDEX('Прайс и заказ'!I:I,$J547)))</f>
      </c>
      <c r="G547" s="63" t="str">
        <f>IF($J547=0,"",IF(INDEX('Прайс и заказ'!K:K,$J547)="","",INDEX('Прайс и заказ'!K:K,$J547)))</f>
      </c>
      <c r="H547" s="62" t="str">
        <f>IF($J547=0,"",IF(INDEX('Прайс и заказ'!L:L,$J547)="","",INDEX('Прайс и заказ'!L:L,$J547)))</f>
      </c>
      <c r="I547" s="13" t="str">
        <f>IF($J547=0,"",IF(INDEX('Прайс и заказ'!M:M,$J547)="","",INDEX('Прайс и заказ'!M:M,$J547)))</f>
      </c>
      <c r="J547" t="str">
        <f>IFERROR(MATCH(539,'Прайс и заказ'!$N$7:$N$623,0)+6,0)</f>
      </c>
      <c r="L547" t="str">
        <f>IF($J547=0,"",IF(INDEX('Прайс и заказ'!Q:Q,$J547)="","",INDEX('Прайс и заказ'!Q:Q,$J547)))</f>
      </c>
    </row>
    <row r="548" spans="1:12" customHeight="1" ht="40">
      <c r="A548" s="13" t="str">
        <f>IF($J548=0,"",IFERROR(_xlfn.IMAGE(INDEX('Прайс и заказ'!$O:$O,$J548)),""))</f>
      </c>
      <c r="B548" s="61" t="str">
        <f>IF($J548=0,"",IF(INDEX('Прайс и заказ'!B:B,$J548)="","",INDEX('Прайс и заказ'!B:B,$J548)))</f>
      </c>
      <c r="C548" s="64" t="str">
        <f>IF($J548=0,"",IF(INDEX('Прайс и заказ'!C:C,$J548)="","",INDEX('Прайс и заказ'!C:C,$J548)))</f>
      </c>
      <c r="D548" s="64" t="str">
        <f>IF($J548=0,"",IF(INDEX('Прайс и заказ'!D:D,$J548)="","",INDEX('Прайс и заказ'!D:D,$J548)))</f>
      </c>
      <c r="E548" s="61" t="str">
        <f>IF($J548=0,"",IF(INDEX('Прайс и заказ'!F:F,$J548)="","",INDEX('Прайс и заказ'!F:F,$J548)))</f>
      </c>
      <c r="F548" s="62" t="str">
        <f>IF($J548=0,"",IF(INDEX('Прайс и заказ'!I:I,$J548)="","",INDEX('Прайс и заказ'!I:I,$J548)))</f>
      </c>
      <c r="G548" s="63" t="str">
        <f>IF($J548=0,"",IF(INDEX('Прайс и заказ'!K:K,$J548)="","",INDEX('Прайс и заказ'!K:K,$J548)))</f>
      </c>
      <c r="H548" s="62" t="str">
        <f>IF($J548=0,"",IF(INDEX('Прайс и заказ'!L:L,$J548)="","",INDEX('Прайс и заказ'!L:L,$J548)))</f>
      </c>
      <c r="I548" s="13" t="str">
        <f>IF($J548=0,"",IF(INDEX('Прайс и заказ'!M:M,$J548)="","",INDEX('Прайс и заказ'!M:M,$J548)))</f>
      </c>
      <c r="J548" t="str">
        <f>IFERROR(MATCH(540,'Прайс и заказ'!$N$7:$N$623,0)+6,0)</f>
      </c>
      <c r="L548" t="str">
        <f>IF($J548=0,"",IF(INDEX('Прайс и заказ'!Q:Q,$J548)="","",INDEX('Прайс и заказ'!Q:Q,$J548)))</f>
      </c>
    </row>
    <row r="549" spans="1:12" customHeight="1" ht="40">
      <c r="A549" s="13" t="str">
        <f>IF($J549=0,"",IFERROR(_xlfn.IMAGE(INDEX('Прайс и заказ'!$O:$O,$J549)),""))</f>
      </c>
      <c r="B549" s="61" t="str">
        <f>IF($J549=0,"",IF(INDEX('Прайс и заказ'!B:B,$J549)="","",INDEX('Прайс и заказ'!B:B,$J549)))</f>
      </c>
      <c r="C549" s="64" t="str">
        <f>IF($J549=0,"",IF(INDEX('Прайс и заказ'!C:C,$J549)="","",INDEX('Прайс и заказ'!C:C,$J549)))</f>
      </c>
      <c r="D549" s="64" t="str">
        <f>IF($J549=0,"",IF(INDEX('Прайс и заказ'!D:D,$J549)="","",INDEX('Прайс и заказ'!D:D,$J549)))</f>
      </c>
      <c r="E549" s="61" t="str">
        <f>IF($J549=0,"",IF(INDEX('Прайс и заказ'!F:F,$J549)="","",INDEX('Прайс и заказ'!F:F,$J549)))</f>
      </c>
      <c r="F549" s="62" t="str">
        <f>IF($J549=0,"",IF(INDEX('Прайс и заказ'!I:I,$J549)="","",INDEX('Прайс и заказ'!I:I,$J549)))</f>
      </c>
      <c r="G549" s="63" t="str">
        <f>IF($J549=0,"",IF(INDEX('Прайс и заказ'!K:K,$J549)="","",INDEX('Прайс и заказ'!K:K,$J549)))</f>
      </c>
      <c r="H549" s="62" t="str">
        <f>IF($J549=0,"",IF(INDEX('Прайс и заказ'!L:L,$J549)="","",INDEX('Прайс и заказ'!L:L,$J549)))</f>
      </c>
      <c r="I549" s="13" t="str">
        <f>IF($J549=0,"",IF(INDEX('Прайс и заказ'!M:M,$J549)="","",INDEX('Прайс и заказ'!M:M,$J549)))</f>
      </c>
      <c r="J549" t="str">
        <f>IFERROR(MATCH(541,'Прайс и заказ'!$N$7:$N$623,0)+6,0)</f>
      </c>
      <c r="L549" t="str">
        <f>IF($J549=0,"",IF(INDEX('Прайс и заказ'!Q:Q,$J549)="","",INDEX('Прайс и заказ'!Q:Q,$J549)))</f>
      </c>
    </row>
    <row r="550" spans="1:12" customHeight="1" ht="40">
      <c r="A550" s="13" t="str">
        <f>IF($J550=0,"",IFERROR(_xlfn.IMAGE(INDEX('Прайс и заказ'!$O:$O,$J550)),""))</f>
      </c>
      <c r="B550" s="61" t="str">
        <f>IF($J550=0,"",IF(INDEX('Прайс и заказ'!B:B,$J550)="","",INDEX('Прайс и заказ'!B:B,$J550)))</f>
      </c>
      <c r="C550" s="64" t="str">
        <f>IF($J550=0,"",IF(INDEX('Прайс и заказ'!C:C,$J550)="","",INDEX('Прайс и заказ'!C:C,$J550)))</f>
      </c>
      <c r="D550" s="64" t="str">
        <f>IF($J550=0,"",IF(INDEX('Прайс и заказ'!D:D,$J550)="","",INDEX('Прайс и заказ'!D:D,$J550)))</f>
      </c>
      <c r="E550" s="61" t="str">
        <f>IF($J550=0,"",IF(INDEX('Прайс и заказ'!F:F,$J550)="","",INDEX('Прайс и заказ'!F:F,$J550)))</f>
      </c>
      <c r="F550" s="62" t="str">
        <f>IF($J550=0,"",IF(INDEX('Прайс и заказ'!I:I,$J550)="","",INDEX('Прайс и заказ'!I:I,$J550)))</f>
      </c>
      <c r="G550" s="63" t="str">
        <f>IF($J550=0,"",IF(INDEX('Прайс и заказ'!K:K,$J550)="","",INDEX('Прайс и заказ'!K:K,$J550)))</f>
      </c>
      <c r="H550" s="62" t="str">
        <f>IF($J550=0,"",IF(INDEX('Прайс и заказ'!L:L,$J550)="","",INDEX('Прайс и заказ'!L:L,$J550)))</f>
      </c>
      <c r="I550" s="13" t="str">
        <f>IF($J550=0,"",IF(INDEX('Прайс и заказ'!M:M,$J550)="","",INDEX('Прайс и заказ'!M:M,$J550)))</f>
      </c>
      <c r="J550" t="str">
        <f>IFERROR(MATCH(542,'Прайс и заказ'!$N$7:$N$623,0)+6,0)</f>
      </c>
      <c r="L550" t="str">
        <f>IF($J550=0,"",IF(INDEX('Прайс и заказ'!Q:Q,$J550)="","",INDEX('Прайс и заказ'!Q:Q,$J550)))</f>
      </c>
    </row>
    <row r="551" spans="1:12" customHeight="1" ht="40">
      <c r="A551" s="13" t="str">
        <f>IF($J551=0,"",IFERROR(_xlfn.IMAGE(INDEX('Прайс и заказ'!$O:$O,$J551)),""))</f>
      </c>
      <c r="B551" s="61" t="str">
        <f>IF($J551=0,"",IF(INDEX('Прайс и заказ'!B:B,$J551)="","",INDEX('Прайс и заказ'!B:B,$J551)))</f>
      </c>
      <c r="C551" s="64" t="str">
        <f>IF($J551=0,"",IF(INDEX('Прайс и заказ'!C:C,$J551)="","",INDEX('Прайс и заказ'!C:C,$J551)))</f>
      </c>
      <c r="D551" s="64" t="str">
        <f>IF($J551=0,"",IF(INDEX('Прайс и заказ'!D:D,$J551)="","",INDEX('Прайс и заказ'!D:D,$J551)))</f>
      </c>
      <c r="E551" s="61" t="str">
        <f>IF($J551=0,"",IF(INDEX('Прайс и заказ'!F:F,$J551)="","",INDEX('Прайс и заказ'!F:F,$J551)))</f>
      </c>
      <c r="F551" s="62" t="str">
        <f>IF($J551=0,"",IF(INDEX('Прайс и заказ'!I:I,$J551)="","",INDEX('Прайс и заказ'!I:I,$J551)))</f>
      </c>
      <c r="G551" s="63" t="str">
        <f>IF($J551=0,"",IF(INDEX('Прайс и заказ'!K:K,$J551)="","",INDEX('Прайс и заказ'!K:K,$J551)))</f>
      </c>
      <c r="H551" s="62" t="str">
        <f>IF($J551=0,"",IF(INDEX('Прайс и заказ'!L:L,$J551)="","",INDEX('Прайс и заказ'!L:L,$J551)))</f>
      </c>
      <c r="I551" s="13" t="str">
        <f>IF($J551=0,"",IF(INDEX('Прайс и заказ'!M:M,$J551)="","",INDEX('Прайс и заказ'!M:M,$J551)))</f>
      </c>
      <c r="J551" t="str">
        <f>IFERROR(MATCH(543,'Прайс и заказ'!$N$7:$N$623,0)+6,0)</f>
      </c>
      <c r="L551" t="str">
        <f>IF($J551=0,"",IF(INDEX('Прайс и заказ'!Q:Q,$J551)="","",INDEX('Прайс и заказ'!Q:Q,$J551)))</f>
      </c>
    </row>
    <row r="552" spans="1:12" customHeight="1" ht="40">
      <c r="A552" s="13" t="str">
        <f>IF($J552=0,"",IFERROR(_xlfn.IMAGE(INDEX('Прайс и заказ'!$O:$O,$J552)),""))</f>
      </c>
      <c r="B552" s="61" t="str">
        <f>IF($J552=0,"",IF(INDEX('Прайс и заказ'!B:B,$J552)="","",INDEX('Прайс и заказ'!B:B,$J552)))</f>
      </c>
      <c r="C552" s="64" t="str">
        <f>IF($J552=0,"",IF(INDEX('Прайс и заказ'!C:C,$J552)="","",INDEX('Прайс и заказ'!C:C,$J552)))</f>
      </c>
      <c r="D552" s="64" t="str">
        <f>IF($J552=0,"",IF(INDEX('Прайс и заказ'!D:D,$J552)="","",INDEX('Прайс и заказ'!D:D,$J552)))</f>
      </c>
      <c r="E552" s="61" t="str">
        <f>IF($J552=0,"",IF(INDEX('Прайс и заказ'!F:F,$J552)="","",INDEX('Прайс и заказ'!F:F,$J552)))</f>
      </c>
      <c r="F552" s="62" t="str">
        <f>IF($J552=0,"",IF(INDEX('Прайс и заказ'!I:I,$J552)="","",INDEX('Прайс и заказ'!I:I,$J552)))</f>
      </c>
      <c r="G552" s="63" t="str">
        <f>IF($J552=0,"",IF(INDEX('Прайс и заказ'!K:K,$J552)="","",INDEX('Прайс и заказ'!K:K,$J552)))</f>
      </c>
      <c r="H552" s="62" t="str">
        <f>IF($J552=0,"",IF(INDEX('Прайс и заказ'!L:L,$J552)="","",INDEX('Прайс и заказ'!L:L,$J552)))</f>
      </c>
      <c r="I552" s="13" t="str">
        <f>IF($J552=0,"",IF(INDEX('Прайс и заказ'!M:M,$J552)="","",INDEX('Прайс и заказ'!M:M,$J552)))</f>
      </c>
      <c r="J552" t="str">
        <f>IFERROR(MATCH(544,'Прайс и заказ'!$N$7:$N$623,0)+6,0)</f>
      </c>
      <c r="L552" t="str">
        <f>IF($J552=0,"",IF(INDEX('Прайс и заказ'!Q:Q,$J552)="","",INDEX('Прайс и заказ'!Q:Q,$J552)))</f>
      </c>
    </row>
    <row r="553" spans="1:12" customHeight="1" ht="40">
      <c r="A553" s="13" t="str">
        <f>IF($J553=0,"",IFERROR(_xlfn.IMAGE(INDEX('Прайс и заказ'!$O:$O,$J553)),""))</f>
      </c>
      <c r="B553" s="61" t="str">
        <f>IF($J553=0,"",IF(INDEX('Прайс и заказ'!B:B,$J553)="","",INDEX('Прайс и заказ'!B:B,$J553)))</f>
      </c>
      <c r="C553" s="64" t="str">
        <f>IF($J553=0,"",IF(INDEX('Прайс и заказ'!C:C,$J553)="","",INDEX('Прайс и заказ'!C:C,$J553)))</f>
      </c>
      <c r="D553" s="64" t="str">
        <f>IF($J553=0,"",IF(INDEX('Прайс и заказ'!D:D,$J553)="","",INDEX('Прайс и заказ'!D:D,$J553)))</f>
      </c>
      <c r="E553" s="61" t="str">
        <f>IF($J553=0,"",IF(INDEX('Прайс и заказ'!F:F,$J553)="","",INDEX('Прайс и заказ'!F:F,$J553)))</f>
      </c>
      <c r="F553" s="62" t="str">
        <f>IF($J553=0,"",IF(INDEX('Прайс и заказ'!I:I,$J553)="","",INDEX('Прайс и заказ'!I:I,$J553)))</f>
      </c>
      <c r="G553" s="63" t="str">
        <f>IF($J553=0,"",IF(INDEX('Прайс и заказ'!K:K,$J553)="","",INDEX('Прайс и заказ'!K:K,$J553)))</f>
      </c>
      <c r="H553" s="62" t="str">
        <f>IF($J553=0,"",IF(INDEX('Прайс и заказ'!L:L,$J553)="","",INDEX('Прайс и заказ'!L:L,$J553)))</f>
      </c>
      <c r="I553" s="13" t="str">
        <f>IF($J553=0,"",IF(INDEX('Прайс и заказ'!M:M,$J553)="","",INDEX('Прайс и заказ'!M:M,$J553)))</f>
      </c>
      <c r="J553" t="str">
        <f>IFERROR(MATCH(545,'Прайс и заказ'!$N$7:$N$623,0)+6,0)</f>
      </c>
      <c r="L553" t="str">
        <f>IF($J553=0,"",IF(INDEX('Прайс и заказ'!Q:Q,$J553)="","",INDEX('Прайс и заказ'!Q:Q,$J553)))</f>
      </c>
    </row>
    <row r="554" spans="1:12" customHeight="1" ht="40">
      <c r="A554" s="13" t="str">
        <f>IF($J554=0,"",IFERROR(_xlfn.IMAGE(INDEX('Прайс и заказ'!$O:$O,$J554)),""))</f>
      </c>
      <c r="B554" s="61" t="str">
        <f>IF($J554=0,"",IF(INDEX('Прайс и заказ'!B:B,$J554)="","",INDEX('Прайс и заказ'!B:B,$J554)))</f>
      </c>
      <c r="C554" s="64" t="str">
        <f>IF($J554=0,"",IF(INDEX('Прайс и заказ'!C:C,$J554)="","",INDEX('Прайс и заказ'!C:C,$J554)))</f>
      </c>
      <c r="D554" s="64" t="str">
        <f>IF($J554=0,"",IF(INDEX('Прайс и заказ'!D:D,$J554)="","",INDEX('Прайс и заказ'!D:D,$J554)))</f>
      </c>
      <c r="E554" s="61" t="str">
        <f>IF($J554=0,"",IF(INDEX('Прайс и заказ'!F:F,$J554)="","",INDEX('Прайс и заказ'!F:F,$J554)))</f>
      </c>
      <c r="F554" s="62" t="str">
        <f>IF($J554=0,"",IF(INDEX('Прайс и заказ'!I:I,$J554)="","",INDEX('Прайс и заказ'!I:I,$J554)))</f>
      </c>
      <c r="G554" s="63" t="str">
        <f>IF($J554=0,"",IF(INDEX('Прайс и заказ'!K:K,$J554)="","",INDEX('Прайс и заказ'!K:K,$J554)))</f>
      </c>
      <c r="H554" s="62" t="str">
        <f>IF($J554=0,"",IF(INDEX('Прайс и заказ'!L:L,$J554)="","",INDEX('Прайс и заказ'!L:L,$J554)))</f>
      </c>
      <c r="I554" s="13" t="str">
        <f>IF($J554=0,"",IF(INDEX('Прайс и заказ'!M:M,$J554)="","",INDEX('Прайс и заказ'!M:M,$J554)))</f>
      </c>
      <c r="J554" t="str">
        <f>IFERROR(MATCH(546,'Прайс и заказ'!$N$7:$N$623,0)+6,0)</f>
      </c>
      <c r="L554" t="str">
        <f>IF($J554=0,"",IF(INDEX('Прайс и заказ'!Q:Q,$J554)="","",INDEX('Прайс и заказ'!Q:Q,$J554)))</f>
      </c>
    </row>
    <row r="555" spans="1:12" customHeight="1" ht="40">
      <c r="A555" s="13" t="str">
        <f>IF($J555=0,"",IFERROR(_xlfn.IMAGE(INDEX('Прайс и заказ'!$O:$O,$J555)),""))</f>
      </c>
      <c r="B555" s="61" t="str">
        <f>IF($J555=0,"",IF(INDEX('Прайс и заказ'!B:B,$J555)="","",INDEX('Прайс и заказ'!B:B,$J555)))</f>
      </c>
      <c r="C555" s="64" t="str">
        <f>IF($J555=0,"",IF(INDEX('Прайс и заказ'!C:C,$J555)="","",INDEX('Прайс и заказ'!C:C,$J555)))</f>
      </c>
      <c r="D555" s="64" t="str">
        <f>IF($J555=0,"",IF(INDEX('Прайс и заказ'!D:D,$J555)="","",INDEX('Прайс и заказ'!D:D,$J555)))</f>
      </c>
      <c r="E555" s="61" t="str">
        <f>IF($J555=0,"",IF(INDEX('Прайс и заказ'!F:F,$J555)="","",INDEX('Прайс и заказ'!F:F,$J555)))</f>
      </c>
      <c r="F555" s="62" t="str">
        <f>IF($J555=0,"",IF(INDEX('Прайс и заказ'!I:I,$J555)="","",INDEX('Прайс и заказ'!I:I,$J555)))</f>
      </c>
      <c r="G555" s="63" t="str">
        <f>IF($J555=0,"",IF(INDEX('Прайс и заказ'!K:K,$J555)="","",INDEX('Прайс и заказ'!K:K,$J555)))</f>
      </c>
      <c r="H555" s="62" t="str">
        <f>IF($J555=0,"",IF(INDEX('Прайс и заказ'!L:L,$J555)="","",INDEX('Прайс и заказ'!L:L,$J555)))</f>
      </c>
      <c r="I555" s="13" t="str">
        <f>IF($J555=0,"",IF(INDEX('Прайс и заказ'!M:M,$J555)="","",INDEX('Прайс и заказ'!M:M,$J555)))</f>
      </c>
      <c r="J555" t="str">
        <f>IFERROR(MATCH(547,'Прайс и заказ'!$N$7:$N$623,0)+6,0)</f>
      </c>
      <c r="L555" t="str">
        <f>IF($J555=0,"",IF(INDEX('Прайс и заказ'!Q:Q,$J555)="","",INDEX('Прайс и заказ'!Q:Q,$J555)))</f>
      </c>
    </row>
    <row r="556" spans="1:12" customHeight="1" ht="40">
      <c r="A556" s="13" t="str">
        <f>IF($J556=0,"",IFERROR(_xlfn.IMAGE(INDEX('Прайс и заказ'!$O:$O,$J556)),""))</f>
      </c>
      <c r="B556" s="61" t="str">
        <f>IF($J556=0,"",IF(INDEX('Прайс и заказ'!B:B,$J556)="","",INDEX('Прайс и заказ'!B:B,$J556)))</f>
      </c>
      <c r="C556" s="64" t="str">
        <f>IF($J556=0,"",IF(INDEX('Прайс и заказ'!C:C,$J556)="","",INDEX('Прайс и заказ'!C:C,$J556)))</f>
      </c>
      <c r="D556" s="64" t="str">
        <f>IF($J556=0,"",IF(INDEX('Прайс и заказ'!D:D,$J556)="","",INDEX('Прайс и заказ'!D:D,$J556)))</f>
      </c>
      <c r="E556" s="61" t="str">
        <f>IF($J556=0,"",IF(INDEX('Прайс и заказ'!F:F,$J556)="","",INDEX('Прайс и заказ'!F:F,$J556)))</f>
      </c>
      <c r="F556" s="62" t="str">
        <f>IF($J556=0,"",IF(INDEX('Прайс и заказ'!I:I,$J556)="","",INDEX('Прайс и заказ'!I:I,$J556)))</f>
      </c>
      <c r="G556" s="63" t="str">
        <f>IF($J556=0,"",IF(INDEX('Прайс и заказ'!K:K,$J556)="","",INDEX('Прайс и заказ'!K:K,$J556)))</f>
      </c>
      <c r="H556" s="62" t="str">
        <f>IF($J556=0,"",IF(INDEX('Прайс и заказ'!L:L,$J556)="","",INDEX('Прайс и заказ'!L:L,$J556)))</f>
      </c>
      <c r="I556" s="13" t="str">
        <f>IF($J556=0,"",IF(INDEX('Прайс и заказ'!M:M,$J556)="","",INDEX('Прайс и заказ'!M:M,$J556)))</f>
      </c>
      <c r="J556" t="str">
        <f>IFERROR(MATCH(548,'Прайс и заказ'!$N$7:$N$623,0)+6,0)</f>
      </c>
      <c r="L556" t="str">
        <f>IF($J556=0,"",IF(INDEX('Прайс и заказ'!Q:Q,$J556)="","",INDEX('Прайс и заказ'!Q:Q,$J556)))</f>
      </c>
    </row>
    <row r="557" spans="1:12" customHeight="1" ht="40">
      <c r="A557" s="13" t="str">
        <f>IF($J557=0,"",IFERROR(_xlfn.IMAGE(INDEX('Прайс и заказ'!$O:$O,$J557)),""))</f>
      </c>
      <c r="B557" s="61" t="str">
        <f>IF($J557=0,"",IF(INDEX('Прайс и заказ'!B:B,$J557)="","",INDEX('Прайс и заказ'!B:B,$J557)))</f>
      </c>
      <c r="C557" s="64" t="str">
        <f>IF($J557=0,"",IF(INDEX('Прайс и заказ'!C:C,$J557)="","",INDEX('Прайс и заказ'!C:C,$J557)))</f>
      </c>
      <c r="D557" s="64" t="str">
        <f>IF($J557=0,"",IF(INDEX('Прайс и заказ'!D:D,$J557)="","",INDEX('Прайс и заказ'!D:D,$J557)))</f>
      </c>
      <c r="E557" s="61" t="str">
        <f>IF($J557=0,"",IF(INDEX('Прайс и заказ'!F:F,$J557)="","",INDEX('Прайс и заказ'!F:F,$J557)))</f>
      </c>
      <c r="F557" s="62" t="str">
        <f>IF($J557=0,"",IF(INDEX('Прайс и заказ'!I:I,$J557)="","",INDEX('Прайс и заказ'!I:I,$J557)))</f>
      </c>
      <c r="G557" s="63" t="str">
        <f>IF($J557=0,"",IF(INDEX('Прайс и заказ'!K:K,$J557)="","",INDEX('Прайс и заказ'!K:K,$J557)))</f>
      </c>
      <c r="H557" s="62" t="str">
        <f>IF($J557=0,"",IF(INDEX('Прайс и заказ'!L:L,$J557)="","",INDEX('Прайс и заказ'!L:L,$J557)))</f>
      </c>
      <c r="I557" s="13" t="str">
        <f>IF($J557=0,"",IF(INDEX('Прайс и заказ'!M:M,$J557)="","",INDEX('Прайс и заказ'!M:M,$J557)))</f>
      </c>
      <c r="J557" t="str">
        <f>IFERROR(MATCH(549,'Прайс и заказ'!$N$7:$N$623,0)+6,0)</f>
      </c>
      <c r="L557" t="str">
        <f>IF($J557=0,"",IF(INDEX('Прайс и заказ'!Q:Q,$J557)="","",INDEX('Прайс и заказ'!Q:Q,$J557)))</f>
      </c>
    </row>
    <row r="558" spans="1:12" customHeight="1" ht="40">
      <c r="A558" s="13" t="str">
        <f>IF($J558=0,"",IFERROR(_xlfn.IMAGE(INDEX('Прайс и заказ'!$O:$O,$J558)),""))</f>
      </c>
      <c r="B558" s="61" t="str">
        <f>IF($J558=0,"",IF(INDEX('Прайс и заказ'!B:B,$J558)="","",INDEX('Прайс и заказ'!B:B,$J558)))</f>
      </c>
      <c r="C558" s="64" t="str">
        <f>IF($J558=0,"",IF(INDEX('Прайс и заказ'!C:C,$J558)="","",INDEX('Прайс и заказ'!C:C,$J558)))</f>
      </c>
      <c r="D558" s="64" t="str">
        <f>IF($J558=0,"",IF(INDEX('Прайс и заказ'!D:D,$J558)="","",INDEX('Прайс и заказ'!D:D,$J558)))</f>
      </c>
      <c r="E558" s="61" t="str">
        <f>IF($J558=0,"",IF(INDEX('Прайс и заказ'!F:F,$J558)="","",INDEX('Прайс и заказ'!F:F,$J558)))</f>
      </c>
      <c r="F558" s="62" t="str">
        <f>IF($J558=0,"",IF(INDEX('Прайс и заказ'!I:I,$J558)="","",INDEX('Прайс и заказ'!I:I,$J558)))</f>
      </c>
      <c r="G558" s="63" t="str">
        <f>IF($J558=0,"",IF(INDEX('Прайс и заказ'!K:K,$J558)="","",INDEX('Прайс и заказ'!K:K,$J558)))</f>
      </c>
      <c r="H558" s="62" t="str">
        <f>IF($J558=0,"",IF(INDEX('Прайс и заказ'!L:L,$J558)="","",INDEX('Прайс и заказ'!L:L,$J558)))</f>
      </c>
      <c r="I558" s="13" t="str">
        <f>IF($J558=0,"",IF(INDEX('Прайс и заказ'!M:M,$J558)="","",INDEX('Прайс и заказ'!M:M,$J558)))</f>
      </c>
      <c r="J558" t="str">
        <f>IFERROR(MATCH(550,'Прайс и заказ'!$N$7:$N$623,0)+6,0)</f>
      </c>
      <c r="L558" t="str">
        <f>IF($J558=0,"",IF(INDEX('Прайс и заказ'!Q:Q,$J558)="","",INDEX('Прайс и заказ'!Q:Q,$J558)))</f>
      </c>
    </row>
    <row r="559" spans="1:12" customHeight="1" ht="40">
      <c r="A559" s="13" t="str">
        <f>IF($J559=0,"",IFERROR(_xlfn.IMAGE(INDEX('Прайс и заказ'!$O:$O,$J559)),""))</f>
      </c>
      <c r="B559" s="61" t="str">
        <f>IF($J559=0,"",IF(INDEX('Прайс и заказ'!B:B,$J559)="","",INDEX('Прайс и заказ'!B:B,$J559)))</f>
      </c>
      <c r="C559" s="64" t="str">
        <f>IF($J559=0,"",IF(INDEX('Прайс и заказ'!C:C,$J559)="","",INDEX('Прайс и заказ'!C:C,$J559)))</f>
      </c>
      <c r="D559" s="64" t="str">
        <f>IF($J559=0,"",IF(INDEX('Прайс и заказ'!D:D,$J559)="","",INDEX('Прайс и заказ'!D:D,$J559)))</f>
      </c>
      <c r="E559" s="61" t="str">
        <f>IF($J559=0,"",IF(INDEX('Прайс и заказ'!F:F,$J559)="","",INDEX('Прайс и заказ'!F:F,$J559)))</f>
      </c>
      <c r="F559" s="62" t="str">
        <f>IF($J559=0,"",IF(INDEX('Прайс и заказ'!I:I,$J559)="","",INDEX('Прайс и заказ'!I:I,$J559)))</f>
      </c>
      <c r="G559" s="63" t="str">
        <f>IF($J559=0,"",IF(INDEX('Прайс и заказ'!K:K,$J559)="","",INDEX('Прайс и заказ'!K:K,$J559)))</f>
      </c>
      <c r="H559" s="62" t="str">
        <f>IF($J559=0,"",IF(INDEX('Прайс и заказ'!L:L,$J559)="","",INDEX('Прайс и заказ'!L:L,$J559)))</f>
      </c>
      <c r="I559" s="13" t="str">
        <f>IF($J559=0,"",IF(INDEX('Прайс и заказ'!M:M,$J559)="","",INDEX('Прайс и заказ'!M:M,$J559)))</f>
      </c>
      <c r="J559" t="str">
        <f>IFERROR(MATCH(551,'Прайс и заказ'!$N$7:$N$623,0)+6,0)</f>
      </c>
      <c r="L559" t="str">
        <f>IF($J559=0,"",IF(INDEX('Прайс и заказ'!Q:Q,$J559)="","",INDEX('Прайс и заказ'!Q:Q,$J559)))</f>
      </c>
    </row>
    <row r="560" spans="1:12" customHeight="1" ht="40">
      <c r="A560" s="13" t="str">
        <f>IF($J560=0,"",IFERROR(_xlfn.IMAGE(INDEX('Прайс и заказ'!$O:$O,$J560)),""))</f>
      </c>
      <c r="B560" s="61" t="str">
        <f>IF($J560=0,"",IF(INDEX('Прайс и заказ'!B:B,$J560)="","",INDEX('Прайс и заказ'!B:B,$J560)))</f>
      </c>
      <c r="C560" s="64" t="str">
        <f>IF($J560=0,"",IF(INDEX('Прайс и заказ'!C:C,$J560)="","",INDEX('Прайс и заказ'!C:C,$J560)))</f>
      </c>
      <c r="D560" s="64" t="str">
        <f>IF($J560=0,"",IF(INDEX('Прайс и заказ'!D:D,$J560)="","",INDEX('Прайс и заказ'!D:D,$J560)))</f>
      </c>
      <c r="E560" s="61" t="str">
        <f>IF($J560=0,"",IF(INDEX('Прайс и заказ'!F:F,$J560)="","",INDEX('Прайс и заказ'!F:F,$J560)))</f>
      </c>
      <c r="F560" s="62" t="str">
        <f>IF($J560=0,"",IF(INDEX('Прайс и заказ'!I:I,$J560)="","",INDEX('Прайс и заказ'!I:I,$J560)))</f>
      </c>
      <c r="G560" s="63" t="str">
        <f>IF($J560=0,"",IF(INDEX('Прайс и заказ'!K:K,$J560)="","",INDEX('Прайс и заказ'!K:K,$J560)))</f>
      </c>
      <c r="H560" s="62" t="str">
        <f>IF($J560=0,"",IF(INDEX('Прайс и заказ'!L:L,$J560)="","",INDEX('Прайс и заказ'!L:L,$J560)))</f>
      </c>
      <c r="I560" s="13" t="str">
        <f>IF($J560=0,"",IF(INDEX('Прайс и заказ'!M:M,$J560)="","",INDEX('Прайс и заказ'!M:M,$J560)))</f>
      </c>
      <c r="J560" t="str">
        <f>IFERROR(MATCH(552,'Прайс и заказ'!$N$7:$N$623,0)+6,0)</f>
      </c>
      <c r="L560" t="str">
        <f>IF($J560=0,"",IF(INDEX('Прайс и заказ'!Q:Q,$J560)="","",INDEX('Прайс и заказ'!Q:Q,$J560)))</f>
      </c>
    </row>
    <row r="561" spans="1:12" customHeight="1" ht="40">
      <c r="A561" s="13" t="str">
        <f>IF($J561=0,"",IFERROR(_xlfn.IMAGE(INDEX('Прайс и заказ'!$O:$O,$J561)),""))</f>
      </c>
      <c r="B561" s="61" t="str">
        <f>IF($J561=0,"",IF(INDEX('Прайс и заказ'!B:B,$J561)="","",INDEX('Прайс и заказ'!B:B,$J561)))</f>
      </c>
      <c r="C561" s="64" t="str">
        <f>IF($J561=0,"",IF(INDEX('Прайс и заказ'!C:C,$J561)="","",INDEX('Прайс и заказ'!C:C,$J561)))</f>
      </c>
      <c r="D561" s="64" t="str">
        <f>IF($J561=0,"",IF(INDEX('Прайс и заказ'!D:D,$J561)="","",INDEX('Прайс и заказ'!D:D,$J561)))</f>
      </c>
      <c r="E561" s="61" t="str">
        <f>IF($J561=0,"",IF(INDEX('Прайс и заказ'!F:F,$J561)="","",INDEX('Прайс и заказ'!F:F,$J561)))</f>
      </c>
      <c r="F561" s="62" t="str">
        <f>IF($J561=0,"",IF(INDEX('Прайс и заказ'!I:I,$J561)="","",INDEX('Прайс и заказ'!I:I,$J561)))</f>
      </c>
      <c r="G561" s="63" t="str">
        <f>IF($J561=0,"",IF(INDEX('Прайс и заказ'!K:K,$J561)="","",INDEX('Прайс и заказ'!K:K,$J561)))</f>
      </c>
      <c r="H561" s="62" t="str">
        <f>IF($J561=0,"",IF(INDEX('Прайс и заказ'!L:L,$J561)="","",INDEX('Прайс и заказ'!L:L,$J561)))</f>
      </c>
      <c r="I561" s="13" t="str">
        <f>IF($J561=0,"",IF(INDEX('Прайс и заказ'!M:M,$J561)="","",INDEX('Прайс и заказ'!M:M,$J561)))</f>
      </c>
      <c r="J561" t="str">
        <f>IFERROR(MATCH(553,'Прайс и заказ'!$N$7:$N$623,0)+6,0)</f>
      </c>
      <c r="L561" t="str">
        <f>IF($J561=0,"",IF(INDEX('Прайс и заказ'!Q:Q,$J561)="","",INDEX('Прайс и заказ'!Q:Q,$J561)))</f>
      </c>
    </row>
    <row r="562" spans="1:12" customHeight="1" ht="40">
      <c r="A562" s="13" t="str">
        <f>IF($J562=0,"",IFERROR(_xlfn.IMAGE(INDEX('Прайс и заказ'!$O:$O,$J562)),""))</f>
      </c>
      <c r="B562" s="61" t="str">
        <f>IF($J562=0,"",IF(INDEX('Прайс и заказ'!B:B,$J562)="","",INDEX('Прайс и заказ'!B:B,$J562)))</f>
      </c>
      <c r="C562" s="64" t="str">
        <f>IF($J562=0,"",IF(INDEX('Прайс и заказ'!C:C,$J562)="","",INDEX('Прайс и заказ'!C:C,$J562)))</f>
      </c>
      <c r="D562" s="64" t="str">
        <f>IF($J562=0,"",IF(INDEX('Прайс и заказ'!D:D,$J562)="","",INDEX('Прайс и заказ'!D:D,$J562)))</f>
      </c>
      <c r="E562" s="61" t="str">
        <f>IF($J562=0,"",IF(INDEX('Прайс и заказ'!F:F,$J562)="","",INDEX('Прайс и заказ'!F:F,$J562)))</f>
      </c>
      <c r="F562" s="62" t="str">
        <f>IF($J562=0,"",IF(INDEX('Прайс и заказ'!I:I,$J562)="","",INDEX('Прайс и заказ'!I:I,$J562)))</f>
      </c>
      <c r="G562" s="63" t="str">
        <f>IF($J562=0,"",IF(INDEX('Прайс и заказ'!K:K,$J562)="","",INDEX('Прайс и заказ'!K:K,$J562)))</f>
      </c>
      <c r="H562" s="62" t="str">
        <f>IF($J562=0,"",IF(INDEX('Прайс и заказ'!L:L,$J562)="","",INDEX('Прайс и заказ'!L:L,$J562)))</f>
      </c>
      <c r="I562" s="13" t="str">
        <f>IF($J562=0,"",IF(INDEX('Прайс и заказ'!M:M,$J562)="","",INDEX('Прайс и заказ'!M:M,$J562)))</f>
      </c>
      <c r="J562" t="str">
        <f>IFERROR(MATCH(554,'Прайс и заказ'!$N$7:$N$623,0)+6,0)</f>
      </c>
      <c r="L562" t="str">
        <f>IF($J562=0,"",IF(INDEX('Прайс и заказ'!Q:Q,$J562)="","",INDEX('Прайс и заказ'!Q:Q,$J562)))</f>
      </c>
    </row>
    <row r="563" spans="1:12" customHeight="1" ht="40">
      <c r="A563" s="13" t="str">
        <f>IF($J563=0,"",IFERROR(_xlfn.IMAGE(INDEX('Прайс и заказ'!$O:$O,$J563)),""))</f>
      </c>
      <c r="B563" s="61" t="str">
        <f>IF($J563=0,"",IF(INDEX('Прайс и заказ'!B:B,$J563)="","",INDEX('Прайс и заказ'!B:B,$J563)))</f>
      </c>
      <c r="C563" s="64" t="str">
        <f>IF($J563=0,"",IF(INDEX('Прайс и заказ'!C:C,$J563)="","",INDEX('Прайс и заказ'!C:C,$J563)))</f>
      </c>
      <c r="D563" s="64" t="str">
        <f>IF($J563=0,"",IF(INDEX('Прайс и заказ'!D:D,$J563)="","",INDEX('Прайс и заказ'!D:D,$J563)))</f>
      </c>
      <c r="E563" s="61" t="str">
        <f>IF($J563=0,"",IF(INDEX('Прайс и заказ'!F:F,$J563)="","",INDEX('Прайс и заказ'!F:F,$J563)))</f>
      </c>
      <c r="F563" s="62" t="str">
        <f>IF($J563=0,"",IF(INDEX('Прайс и заказ'!I:I,$J563)="","",INDEX('Прайс и заказ'!I:I,$J563)))</f>
      </c>
      <c r="G563" s="63" t="str">
        <f>IF($J563=0,"",IF(INDEX('Прайс и заказ'!K:K,$J563)="","",INDEX('Прайс и заказ'!K:K,$J563)))</f>
      </c>
      <c r="H563" s="62" t="str">
        <f>IF($J563=0,"",IF(INDEX('Прайс и заказ'!L:L,$J563)="","",INDEX('Прайс и заказ'!L:L,$J563)))</f>
      </c>
      <c r="I563" s="13" t="str">
        <f>IF($J563=0,"",IF(INDEX('Прайс и заказ'!M:M,$J563)="","",INDEX('Прайс и заказ'!M:M,$J563)))</f>
      </c>
      <c r="J563" t="str">
        <f>IFERROR(MATCH(555,'Прайс и заказ'!$N$7:$N$623,0)+6,0)</f>
      </c>
      <c r="L563" t="str">
        <f>IF($J563=0,"",IF(INDEX('Прайс и заказ'!Q:Q,$J563)="","",INDEX('Прайс и заказ'!Q:Q,$J563)))</f>
      </c>
    </row>
    <row r="564" spans="1:12" customHeight="1" ht="40">
      <c r="A564" s="13" t="str">
        <f>IF($J564=0,"",IFERROR(_xlfn.IMAGE(INDEX('Прайс и заказ'!$O:$O,$J564)),""))</f>
      </c>
      <c r="B564" s="61" t="str">
        <f>IF($J564=0,"",IF(INDEX('Прайс и заказ'!B:B,$J564)="","",INDEX('Прайс и заказ'!B:B,$J564)))</f>
      </c>
      <c r="C564" s="64" t="str">
        <f>IF($J564=0,"",IF(INDEX('Прайс и заказ'!C:C,$J564)="","",INDEX('Прайс и заказ'!C:C,$J564)))</f>
      </c>
      <c r="D564" s="64" t="str">
        <f>IF($J564=0,"",IF(INDEX('Прайс и заказ'!D:D,$J564)="","",INDEX('Прайс и заказ'!D:D,$J564)))</f>
      </c>
      <c r="E564" s="61" t="str">
        <f>IF($J564=0,"",IF(INDEX('Прайс и заказ'!F:F,$J564)="","",INDEX('Прайс и заказ'!F:F,$J564)))</f>
      </c>
      <c r="F564" s="62" t="str">
        <f>IF($J564=0,"",IF(INDEX('Прайс и заказ'!I:I,$J564)="","",INDEX('Прайс и заказ'!I:I,$J564)))</f>
      </c>
      <c r="G564" s="63" t="str">
        <f>IF($J564=0,"",IF(INDEX('Прайс и заказ'!K:K,$J564)="","",INDEX('Прайс и заказ'!K:K,$J564)))</f>
      </c>
      <c r="H564" s="62" t="str">
        <f>IF($J564=0,"",IF(INDEX('Прайс и заказ'!L:L,$J564)="","",INDEX('Прайс и заказ'!L:L,$J564)))</f>
      </c>
      <c r="I564" s="13" t="str">
        <f>IF($J564=0,"",IF(INDEX('Прайс и заказ'!M:M,$J564)="","",INDEX('Прайс и заказ'!M:M,$J564)))</f>
      </c>
      <c r="J564" t="str">
        <f>IFERROR(MATCH(556,'Прайс и заказ'!$N$7:$N$623,0)+6,0)</f>
      </c>
      <c r="L564" t="str">
        <f>IF($J564=0,"",IF(INDEX('Прайс и заказ'!Q:Q,$J564)="","",INDEX('Прайс и заказ'!Q:Q,$J564)))</f>
      </c>
    </row>
    <row r="565" spans="1:12" customHeight="1" ht="40">
      <c r="A565" s="13" t="str">
        <f>IF($J565=0,"",IFERROR(_xlfn.IMAGE(INDEX('Прайс и заказ'!$O:$O,$J565)),""))</f>
      </c>
      <c r="B565" s="61" t="str">
        <f>IF($J565=0,"",IF(INDEX('Прайс и заказ'!B:B,$J565)="","",INDEX('Прайс и заказ'!B:B,$J565)))</f>
      </c>
      <c r="C565" s="64" t="str">
        <f>IF($J565=0,"",IF(INDEX('Прайс и заказ'!C:C,$J565)="","",INDEX('Прайс и заказ'!C:C,$J565)))</f>
      </c>
      <c r="D565" s="64" t="str">
        <f>IF($J565=0,"",IF(INDEX('Прайс и заказ'!D:D,$J565)="","",INDEX('Прайс и заказ'!D:D,$J565)))</f>
      </c>
      <c r="E565" s="61" t="str">
        <f>IF($J565=0,"",IF(INDEX('Прайс и заказ'!F:F,$J565)="","",INDEX('Прайс и заказ'!F:F,$J565)))</f>
      </c>
      <c r="F565" s="62" t="str">
        <f>IF($J565=0,"",IF(INDEX('Прайс и заказ'!I:I,$J565)="","",INDEX('Прайс и заказ'!I:I,$J565)))</f>
      </c>
      <c r="G565" s="63" t="str">
        <f>IF($J565=0,"",IF(INDEX('Прайс и заказ'!K:K,$J565)="","",INDEX('Прайс и заказ'!K:K,$J565)))</f>
      </c>
      <c r="H565" s="62" t="str">
        <f>IF($J565=0,"",IF(INDEX('Прайс и заказ'!L:L,$J565)="","",INDEX('Прайс и заказ'!L:L,$J565)))</f>
      </c>
      <c r="I565" s="13" t="str">
        <f>IF($J565=0,"",IF(INDEX('Прайс и заказ'!M:M,$J565)="","",INDEX('Прайс и заказ'!M:M,$J565)))</f>
      </c>
      <c r="J565" t="str">
        <f>IFERROR(MATCH(557,'Прайс и заказ'!$N$7:$N$623,0)+6,0)</f>
      </c>
      <c r="L565" t="str">
        <f>IF($J565=0,"",IF(INDEX('Прайс и заказ'!Q:Q,$J565)="","",INDEX('Прайс и заказ'!Q:Q,$J565)))</f>
      </c>
    </row>
    <row r="566" spans="1:12" customHeight="1" ht="40">
      <c r="A566" s="13" t="str">
        <f>IF($J566=0,"",IFERROR(_xlfn.IMAGE(INDEX('Прайс и заказ'!$O:$O,$J566)),""))</f>
      </c>
      <c r="B566" s="61" t="str">
        <f>IF($J566=0,"",IF(INDEX('Прайс и заказ'!B:B,$J566)="","",INDEX('Прайс и заказ'!B:B,$J566)))</f>
      </c>
      <c r="C566" s="64" t="str">
        <f>IF($J566=0,"",IF(INDEX('Прайс и заказ'!C:C,$J566)="","",INDEX('Прайс и заказ'!C:C,$J566)))</f>
      </c>
      <c r="D566" s="64" t="str">
        <f>IF($J566=0,"",IF(INDEX('Прайс и заказ'!D:D,$J566)="","",INDEX('Прайс и заказ'!D:D,$J566)))</f>
      </c>
      <c r="E566" s="61" t="str">
        <f>IF($J566=0,"",IF(INDEX('Прайс и заказ'!F:F,$J566)="","",INDEX('Прайс и заказ'!F:F,$J566)))</f>
      </c>
      <c r="F566" s="62" t="str">
        <f>IF($J566=0,"",IF(INDEX('Прайс и заказ'!I:I,$J566)="","",INDEX('Прайс и заказ'!I:I,$J566)))</f>
      </c>
      <c r="G566" s="63" t="str">
        <f>IF($J566=0,"",IF(INDEX('Прайс и заказ'!K:K,$J566)="","",INDEX('Прайс и заказ'!K:K,$J566)))</f>
      </c>
      <c r="H566" s="62" t="str">
        <f>IF($J566=0,"",IF(INDEX('Прайс и заказ'!L:L,$J566)="","",INDEX('Прайс и заказ'!L:L,$J566)))</f>
      </c>
      <c r="I566" s="13" t="str">
        <f>IF($J566=0,"",IF(INDEX('Прайс и заказ'!M:M,$J566)="","",INDEX('Прайс и заказ'!M:M,$J566)))</f>
      </c>
      <c r="J566" t="str">
        <f>IFERROR(MATCH(558,'Прайс и заказ'!$N$7:$N$623,0)+6,0)</f>
      </c>
      <c r="L566" t="str">
        <f>IF($J566=0,"",IF(INDEX('Прайс и заказ'!Q:Q,$J566)="","",INDEX('Прайс и заказ'!Q:Q,$J566)))</f>
      </c>
    </row>
    <row r="567" spans="1:12" customHeight="1" ht="40">
      <c r="A567" s="13" t="str">
        <f>IF($J567=0,"",IFERROR(_xlfn.IMAGE(INDEX('Прайс и заказ'!$O:$O,$J567)),""))</f>
      </c>
      <c r="B567" s="61" t="str">
        <f>IF($J567=0,"",IF(INDEX('Прайс и заказ'!B:B,$J567)="","",INDEX('Прайс и заказ'!B:B,$J567)))</f>
      </c>
      <c r="C567" s="64" t="str">
        <f>IF($J567=0,"",IF(INDEX('Прайс и заказ'!C:C,$J567)="","",INDEX('Прайс и заказ'!C:C,$J567)))</f>
      </c>
      <c r="D567" s="64" t="str">
        <f>IF($J567=0,"",IF(INDEX('Прайс и заказ'!D:D,$J567)="","",INDEX('Прайс и заказ'!D:D,$J567)))</f>
      </c>
      <c r="E567" s="61" t="str">
        <f>IF($J567=0,"",IF(INDEX('Прайс и заказ'!F:F,$J567)="","",INDEX('Прайс и заказ'!F:F,$J567)))</f>
      </c>
      <c r="F567" s="62" t="str">
        <f>IF($J567=0,"",IF(INDEX('Прайс и заказ'!I:I,$J567)="","",INDEX('Прайс и заказ'!I:I,$J567)))</f>
      </c>
      <c r="G567" s="63" t="str">
        <f>IF($J567=0,"",IF(INDEX('Прайс и заказ'!K:K,$J567)="","",INDEX('Прайс и заказ'!K:K,$J567)))</f>
      </c>
      <c r="H567" s="62" t="str">
        <f>IF($J567=0,"",IF(INDEX('Прайс и заказ'!L:L,$J567)="","",INDEX('Прайс и заказ'!L:L,$J567)))</f>
      </c>
      <c r="I567" s="13" t="str">
        <f>IF($J567=0,"",IF(INDEX('Прайс и заказ'!M:M,$J567)="","",INDEX('Прайс и заказ'!M:M,$J567)))</f>
      </c>
      <c r="J567" t="str">
        <f>IFERROR(MATCH(559,'Прайс и заказ'!$N$7:$N$623,0)+6,0)</f>
      </c>
      <c r="L567" t="str">
        <f>IF($J567=0,"",IF(INDEX('Прайс и заказ'!Q:Q,$J567)="","",INDEX('Прайс и заказ'!Q:Q,$J567)))</f>
      </c>
    </row>
    <row r="568" spans="1:12" customHeight="1" ht="40">
      <c r="A568" s="13" t="str">
        <f>IF($J568=0,"",IFERROR(_xlfn.IMAGE(INDEX('Прайс и заказ'!$O:$O,$J568)),""))</f>
      </c>
      <c r="B568" s="61" t="str">
        <f>IF($J568=0,"",IF(INDEX('Прайс и заказ'!B:B,$J568)="","",INDEX('Прайс и заказ'!B:B,$J568)))</f>
      </c>
      <c r="C568" s="64" t="str">
        <f>IF($J568=0,"",IF(INDEX('Прайс и заказ'!C:C,$J568)="","",INDEX('Прайс и заказ'!C:C,$J568)))</f>
      </c>
      <c r="D568" s="64" t="str">
        <f>IF($J568=0,"",IF(INDEX('Прайс и заказ'!D:D,$J568)="","",INDEX('Прайс и заказ'!D:D,$J568)))</f>
      </c>
      <c r="E568" s="61" t="str">
        <f>IF($J568=0,"",IF(INDEX('Прайс и заказ'!F:F,$J568)="","",INDEX('Прайс и заказ'!F:F,$J568)))</f>
      </c>
      <c r="F568" s="62" t="str">
        <f>IF($J568=0,"",IF(INDEX('Прайс и заказ'!I:I,$J568)="","",INDEX('Прайс и заказ'!I:I,$J568)))</f>
      </c>
      <c r="G568" s="63" t="str">
        <f>IF($J568=0,"",IF(INDEX('Прайс и заказ'!K:K,$J568)="","",INDEX('Прайс и заказ'!K:K,$J568)))</f>
      </c>
      <c r="H568" s="62" t="str">
        <f>IF($J568=0,"",IF(INDEX('Прайс и заказ'!L:L,$J568)="","",INDEX('Прайс и заказ'!L:L,$J568)))</f>
      </c>
      <c r="I568" s="13" t="str">
        <f>IF($J568=0,"",IF(INDEX('Прайс и заказ'!M:M,$J568)="","",INDEX('Прайс и заказ'!M:M,$J568)))</f>
      </c>
      <c r="J568" t="str">
        <f>IFERROR(MATCH(560,'Прайс и заказ'!$N$7:$N$623,0)+6,0)</f>
      </c>
      <c r="L568" t="str">
        <f>IF($J568=0,"",IF(INDEX('Прайс и заказ'!Q:Q,$J568)="","",INDEX('Прайс и заказ'!Q:Q,$J568)))</f>
      </c>
    </row>
    <row r="569" spans="1:12" customHeight="1" ht="40">
      <c r="A569" s="13" t="str">
        <f>IF($J569=0,"",IFERROR(_xlfn.IMAGE(INDEX('Прайс и заказ'!$O:$O,$J569)),""))</f>
      </c>
      <c r="B569" s="61" t="str">
        <f>IF($J569=0,"",IF(INDEX('Прайс и заказ'!B:B,$J569)="","",INDEX('Прайс и заказ'!B:B,$J569)))</f>
      </c>
      <c r="C569" s="64" t="str">
        <f>IF($J569=0,"",IF(INDEX('Прайс и заказ'!C:C,$J569)="","",INDEX('Прайс и заказ'!C:C,$J569)))</f>
      </c>
      <c r="D569" s="64" t="str">
        <f>IF($J569=0,"",IF(INDEX('Прайс и заказ'!D:D,$J569)="","",INDEX('Прайс и заказ'!D:D,$J569)))</f>
      </c>
      <c r="E569" s="61" t="str">
        <f>IF($J569=0,"",IF(INDEX('Прайс и заказ'!F:F,$J569)="","",INDEX('Прайс и заказ'!F:F,$J569)))</f>
      </c>
      <c r="F569" s="62" t="str">
        <f>IF($J569=0,"",IF(INDEX('Прайс и заказ'!I:I,$J569)="","",INDEX('Прайс и заказ'!I:I,$J569)))</f>
      </c>
      <c r="G569" s="63" t="str">
        <f>IF($J569=0,"",IF(INDEX('Прайс и заказ'!K:K,$J569)="","",INDEX('Прайс и заказ'!K:K,$J569)))</f>
      </c>
      <c r="H569" s="62" t="str">
        <f>IF($J569=0,"",IF(INDEX('Прайс и заказ'!L:L,$J569)="","",INDEX('Прайс и заказ'!L:L,$J569)))</f>
      </c>
      <c r="I569" s="13" t="str">
        <f>IF($J569=0,"",IF(INDEX('Прайс и заказ'!M:M,$J569)="","",INDEX('Прайс и заказ'!M:M,$J569)))</f>
      </c>
      <c r="J569" t="str">
        <f>IFERROR(MATCH(561,'Прайс и заказ'!$N$7:$N$623,0)+6,0)</f>
      </c>
      <c r="L569" t="str">
        <f>IF($J569=0,"",IF(INDEX('Прайс и заказ'!Q:Q,$J569)="","",INDEX('Прайс и заказ'!Q:Q,$J569)))</f>
      </c>
    </row>
    <row r="570" spans="1:12" customHeight="1" ht="40">
      <c r="A570" s="13" t="str">
        <f>IF($J570=0,"",IFERROR(_xlfn.IMAGE(INDEX('Прайс и заказ'!$O:$O,$J570)),""))</f>
      </c>
      <c r="B570" s="61" t="str">
        <f>IF($J570=0,"",IF(INDEX('Прайс и заказ'!B:B,$J570)="","",INDEX('Прайс и заказ'!B:B,$J570)))</f>
      </c>
      <c r="C570" s="64" t="str">
        <f>IF($J570=0,"",IF(INDEX('Прайс и заказ'!C:C,$J570)="","",INDEX('Прайс и заказ'!C:C,$J570)))</f>
      </c>
      <c r="D570" s="64" t="str">
        <f>IF($J570=0,"",IF(INDEX('Прайс и заказ'!D:D,$J570)="","",INDEX('Прайс и заказ'!D:D,$J570)))</f>
      </c>
      <c r="E570" s="61" t="str">
        <f>IF($J570=0,"",IF(INDEX('Прайс и заказ'!F:F,$J570)="","",INDEX('Прайс и заказ'!F:F,$J570)))</f>
      </c>
      <c r="F570" s="62" t="str">
        <f>IF($J570=0,"",IF(INDEX('Прайс и заказ'!I:I,$J570)="","",INDEX('Прайс и заказ'!I:I,$J570)))</f>
      </c>
      <c r="G570" s="63" t="str">
        <f>IF($J570=0,"",IF(INDEX('Прайс и заказ'!K:K,$J570)="","",INDEX('Прайс и заказ'!K:K,$J570)))</f>
      </c>
      <c r="H570" s="62" t="str">
        <f>IF($J570=0,"",IF(INDEX('Прайс и заказ'!L:L,$J570)="","",INDEX('Прайс и заказ'!L:L,$J570)))</f>
      </c>
      <c r="I570" s="13" t="str">
        <f>IF($J570=0,"",IF(INDEX('Прайс и заказ'!M:M,$J570)="","",INDEX('Прайс и заказ'!M:M,$J570)))</f>
      </c>
      <c r="J570" t="str">
        <f>IFERROR(MATCH(562,'Прайс и заказ'!$N$7:$N$623,0)+6,0)</f>
      </c>
      <c r="L570" t="str">
        <f>IF($J570=0,"",IF(INDEX('Прайс и заказ'!Q:Q,$J570)="","",INDEX('Прайс и заказ'!Q:Q,$J570)))</f>
      </c>
    </row>
    <row r="571" spans="1:12" customHeight="1" ht="40">
      <c r="A571" s="13" t="str">
        <f>IF($J571=0,"",IFERROR(_xlfn.IMAGE(INDEX('Прайс и заказ'!$O:$O,$J571)),""))</f>
      </c>
      <c r="B571" s="61" t="str">
        <f>IF($J571=0,"",IF(INDEX('Прайс и заказ'!B:B,$J571)="","",INDEX('Прайс и заказ'!B:B,$J571)))</f>
      </c>
      <c r="C571" s="64" t="str">
        <f>IF($J571=0,"",IF(INDEX('Прайс и заказ'!C:C,$J571)="","",INDEX('Прайс и заказ'!C:C,$J571)))</f>
      </c>
      <c r="D571" s="64" t="str">
        <f>IF($J571=0,"",IF(INDEX('Прайс и заказ'!D:D,$J571)="","",INDEX('Прайс и заказ'!D:D,$J571)))</f>
      </c>
      <c r="E571" s="61" t="str">
        <f>IF($J571=0,"",IF(INDEX('Прайс и заказ'!F:F,$J571)="","",INDEX('Прайс и заказ'!F:F,$J571)))</f>
      </c>
      <c r="F571" s="62" t="str">
        <f>IF($J571=0,"",IF(INDEX('Прайс и заказ'!I:I,$J571)="","",INDEX('Прайс и заказ'!I:I,$J571)))</f>
      </c>
      <c r="G571" s="63" t="str">
        <f>IF($J571=0,"",IF(INDEX('Прайс и заказ'!K:K,$J571)="","",INDEX('Прайс и заказ'!K:K,$J571)))</f>
      </c>
      <c r="H571" s="62" t="str">
        <f>IF($J571=0,"",IF(INDEX('Прайс и заказ'!L:L,$J571)="","",INDEX('Прайс и заказ'!L:L,$J571)))</f>
      </c>
      <c r="I571" s="13" t="str">
        <f>IF($J571=0,"",IF(INDEX('Прайс и заказ'!M:M,$J571)="","",INDEX('Прайс и заказ'!M:M,$J571)))</f>
      </c>
      <c r="J571" t="str">
        <f>IFERROR(MATCH(563,'Прайс и заказ'!$N$7:$N$623,0)+6,0)</f>
      </c>
      <c r="L571" t="str">
        <f>IF($J571=0,"",IF(INDEX('Прайс и заказ'!Q:Q,$J571)="","",INDEX('Прайс и заказ'!Q:Q,$J571)))</f>
      </c>
    </row>
    <row r="572" spans="1:12" customHeight="1" ht="40">
      <c r="A572" s="13" t="str">
        <f>IF($J572=0,"",IFERROR(_xlfn.IMAGE(INDEX('Прайс и заказ'!$O:$O,$J572)),""))</f>
      </c>
      <c r="B572" s="61" t="str">
        <f>IF($J572=0,"",IF(INDEX('Прайс и заказ'!B:B,$J572)="","",INDEX('Прайс и заказ'!B:B,$J572)))</f>
      </c>
      <c r="C572" s="64" t="str">
        <f>IF($J572=0,"",IF(INDEX('Прайс и заказ'!C:C,$J572)="","",INDEX('Прайс и заказ'!C:C,$J572)))</f>
      </c>
      <c r="D572" s="64" t="str">
        <f>IF($J572=0,"",IF(INDEX('Прайс и заказ'!D:D,$J572)="","",INDEX('Прайс и заказ'!D:D,$J572)))</f>
      </c>
      <c r="E572" s="61" t="str">
        <f>IF($J572=0,"",IF(INDEX('Прайс и заказ'!F:F,$J572)="","",INDEX('Прайс и заказ'!F:F,$J572)))</f>
      </c>
      <c r="F572" s="62" t="str">
        <f>IF($J572=0,"",IF(INDEX('Прайс и заказ'!I:I,$J572)="","",INDEX('Прайс и заказ'!I:I,$J572)))</f>
      </c>
      <c r="G572" s="63" t="str">
        <f>IF($J572=0,"",IF(INDEX('Прайс и заказ'!K:K,$J572)="","",INDEX('Прайс и заказ'!K:K,$J572)))</f>
      </c>
      <c r="H572" s="62" t="str">
        <f>IF($J572=0,"",IF(INDEX('Прайс и заказ'!L:L,$J572)="","",INDEX('Прайс и заказ'!L:L,$J572)))</f>
      </c>
      <c r="I572" s="13" t="str">
        <f>IF($J572=0,"",IF(INDEX('Прайс и заказ'!M:M,$J572)="","",INDEX('Прайс и заказ'!M:M,$J572)))</f>
      </c>
      <c r="J572" t="str">
        <f>IFERROR(MATCH(564,'Прайс и заказ'!$N$7:$N$623,0)+6,0)</f>
      </c>
      <c r="L572" t="str">
        <f>IF($J572=0,"",IF(INDEX('Прайс и заказ'!Q:Q,$J572)="","",INDEX('Прайс и заказ'!Q:Q,$J572)))</f>
      </c>
    </row>
    <row r="573" spans="1:12" customHeight="1" ht="40">
      <c r="A573" s="13" t="str">
        <f>IF($J573=0,"",IFERROR(_xlfn.IMAGE(INDEX('Прайс и заказ'!$O:$O,$J573)),""))</f>
      </c>
      <c r="B573" s="61" t="str">
        <f>IF($J573=0,"",IF(INDEX('Прайс и заказ'!B:B,$J573)="","",INDEX('Прайс и заказ'!B:B,$J573)))</f>
      </c>
      <c r="C573" s="64" t="str">
        <f>IF($J573=0,"",IF(INDEX('Прайс и заказ'!C:C,$J573)="","",INDEX('Прайс и заказ'!C:C,$J573)))</f>
      </c>
      <c r="D573" s="64" t="str">
        <f>IF($J573=0,"",IF(INDEX('Прайс и заказ'!D:D,$J573)="","",INDEX('Прайс и заказ'!D:D,$J573)))</f>
      </c>
      <c r="E573" s="61" t="str">
        <f>IF($J573=0,"",IF(INDEX('Прайс и заказ'!F:F,$J573)="","",INDEX('Прайс и заказ'!F:F,$J573)))</f>
      </c>
      <c r="F573" s="62" t="str">
        <f>IF($J573=0,"",IF(INDEX('Прайс и заказ'!I:I,$J573)="","",INDEX('Прайс и заказ'!I:I,$J573)))</f>
      </c>
      <c r="G573" s="63" t="str">
        <f>IF($J573=0,"",IF(INDEX('Прайс и заказ'!K:K,$J573)="","",INDEX('Прайс и заказ'!K:K,$J573)))</f>
      </c>
      <c r="H573" s="62" t="str">
        <f>IF($J573=0,"",IF(INDEX('Прайс и заказ'!L:L,$J573)="","",INDEX('Прайс и заказ'!L:L,$J573)))</f>
      </c>
      <c r="I573" s="13" t="str">
        <f>IF($J573=0,"",IF(INDEX('Прайс и заказ'!M:M,$J573)="","",INDEX('Прайс и заказ'!M:M,$J573)))</f>
      </c>
      <c r="J573" t="str">
        <f>IFERROR(MATCH(565,'Прайс и заказ'!$N$7:$N$623,0)+6,0)</f>
      </c>
      <c r="L573" t="str">
        <f>IF($J573=0,"",IF(INDEX('Прайс и заказ'!Q:Q,$J573)="","",INDEX('Прайс и заказ'!Q:Q,$J573)))</f>
      </c>
    </row>
    <row r="574" spans="1:12" customHeight="1" ht="40">
      <c r="A574" s="13" t="str">
        <f>IF($J574=0,"",IFERROR(_xlfn.IMAGE(INDEX('Прайс и заказ'!$O:$O,$J574)),""))</f>
      </c>
      <c r="B574" s="61" t="str">
        <f>IF($J574=0,"",IF(INDEX('Прайс и заказ'!B:B,$J574)="","",INDEX('Прайс и заказ'!B:B,$J574)))</f>
      </c>
      <c r="C574" s="64" t="str">
        <f>IF($J574=0,"",IF(INDEX('Прайс и заказ'!C:C,$J574)="","",INDEX('Прайс и заказ'!C:C,$J574)))</f>
      </c>
      <c r="D574" s="64" t="str">
        <f>IF($J574=0,"",IF(INDEX('Прайс и заказ'!D:D,$J574)="","",INDEX('Прайс и заказ'!D:D,$J574)))</f>
      </c>
      <c r="E574" s="61" t="str">
        <f>IF($J574=0,"",IF(INDEX('Прайс и заказ'!F:F,$J574)="","",INDEX('Прайс и заказ'!F:F,$J574)))</f>
      </c>
      <c r="F574" s="62" t="str">
        <f>IF($J574=0,"",IF(INDEX('Прайс и заказ'!I:I,$J574)="","",INDEX('Прайс и заказ'!I:I,$J574)))</f>
      </c>
      <c r="G574" s="63" t="str">
        <f>IF($J574=0,"",IF(INDEX('Прайс и заказ'!K:K,$J574)="","",INDEX('Прайс и заказ'!K:K,$J574)))</f>
      </c>
      <c r="H574" s="62" t="str">
        <f>IF($J574=0,"",IF(INDEX('Прайс и заказ'!L:L,$J574)="","",INDEX('Прайс и заказ'!L:L,$J574)))</f>
      </c>
      <c r="I574" s="13" t="str">
        <f>IF($J574=0,"",IF(INDEX('Прайс и заказ'!M:M,$J574)="","",INDEX('Прайс и заказ'!M:M,$J574)))</f>
      </c>
      <c r="J574" t="str">
        <f>IFERROR(MATCH(566,'Прайс и заказ'!$N$7:$N$623,0)+6,0)</f>
      </c>
      <c r="L574" t="str">
        <f>IF($J574=0,"",IF(INDEX('Прайс и заказ'!Q:Q,$J574)="","",INDEX('Прайс и заказ'!Q:Q,$J574)))</f>
      </c>
    </row>
    <row r="575" spans="1:12" customHeight="1" ht="40">
      <c r="A575" s="13" t="str">
        <f>IF($J575=0,"",IFERROR(_xlfn.IMAGE(INDEX('Прайс и заказ'!$O:$O,$J575)),""))</f>
      </c>
      <c r="B575" s="61" t="str">
        <f>IF($J575=0,"",IF(INDEX('Прайс и заказ'!B:B,$J575)="","",INDEX('Прайс и заказ'!B:B,$J575)))</f>
      </c>
      <c r="C575" s="64" t="str">
        <f>IF($J575=0,"",IF(INDEX('Прайс и заказ'!C:C,$J575)="","",INDEX('Прайс и заказ'!C:C,$J575)))</f>
      </c>
      <c r="D575" s="64" t="str">
        <f>IF($J575=0,"",IF(INDEX('Прайс и заказ'!D:D,$J575)="","",INDEX('Прайс и заказ'!D:D,$J575)))</f>
      </c>
      <c r="E575" s="61" t="str">
        <f>IF($J575=0,"",IF(INDEX('Прайс и заказ'!F:F,$J575)="","",INDEX('Прайс и заказ'!F:F,$J575)))</f>
      </c>
      <c r="F575" s="62" t="str">
        <f>IF($J575=0,"",IF(INDEX('Прайс и заказ'!I:I,$J575)="","",INDEX('Прайс и заказ'!I:I,$J575)))</f>
      </c>
      <c r="G575" s="63" t="str">
        <f>IF($J575=0,"",IF(INDEX('Прайс и заказ'!K:K,$J575)="","",INDEX('Прайс и заказ'!K:K,$J575)))</f>
      </c>
      <c r="H575" s="62" t="str">
        <f>IF($J575=0,"",IF(INDEX('Прайс и заказ'!L:L,$J575)="","",INDEX('Прайс и заказ'!L:L,$J575)))</f>
      </c>
      <c r="I575" s="13" t="str">
        <f>IF($J575=0,"",IF(INDEX('Прайс и заказ'!M:M,$J575)="","",INDEX('Прайс и заказ'!M:M,$J575)))</f>
      </c>
      <c r="J575" t="str">
        <f>IFERROR(MATCH(567,'Прайс и заказ'!$N$7:$N$623,0)+6,0)</f>
      </c>
      <c r="L575" t="str">
        <f>IF($J575=0,"",IF(INDEX('Прайс и заказ'!Q:Q,$J575)="","",INDEX('Прайс и заказ'!Q:Q,$J575)))</f>
      </c>
    </row>
    <row r="576" spans="1:12" customHeight="1" ht="40">
      <c r="A576" s="13" t="str">
        <f>IF($J576=0,"",IFERROR(_xlfn.IMAGE(INDEX('Прайс и заказ'!$O:$O,$J576)),""))</f>
      </c>
      <c r="B576" s="61" t="str">
        <f>IF($J576=0,"",IF(INDEX('Прайс и заказ'!B:B,$J576)="","",INDEX('Прайс и заказ'!B:B,$J576)))</f>
      </c>
      <c r="C576" s="64" t="str">
        <f>IF($J576=0,"",IF(INDEX('Прайс и заказ'!C:C,$J576)="","",INDEX('Прайс и заказ'!C:C,$J576)))</f>
      </c>
      <c r="D576" s="64" t="str">
        <f>IF($J576=0,"",IF(INDEX('Прайс и заказ'!D:D,$J576)="","",INDEX('Прайс и заказ'!D:D,$J576)))</f>
      </c>
      <c r="E576" s="61" t="str">
        <f>IF($J576=0,"",IF(INDEX('Прайс и заказ'!F:F,$J576)="","",INDEX('Прайс и заказ'!F:F,$J576)))</f>
      </c>
      <c r="F576" s="62" t="str">
        <f>IF($J576=0,"",IF(INDEX('Прайс и заказ'!I:I,$J576)="","",INDEX('Прайс и заказ'!I:I,$J576)))</f>
      </c>
      <c r="G576" s="63" t="str">
        <f>IF($J576=0,"",IF(INDEX('Прайс и заказ'!K:K,$J576)="","",INDEX('Прайс и заказ'!K:K,$J576)))</f>
      </c>
      <c r="H576" s="62" t="str">
        <f>IF($J576=0,"",IF(INDEX('Прайс и заказ'!L:L,$J576)="","",INDEX('Прайс и заказ'!L:L,$J576)))</f>
      </c>
      <c r="I576" s="13" t="str">
        <f>IF($J576=0,"",IF(INDEX('Прайс и заказ'!M:M,$J576)="","",INDEX('Прайс и заказ'!M:M,$J576)))</f>
      </c>
      <c r="J576" t="str">
        <f>IFERROR(MATCH(568,'Прайс и заказ'!$N$7:$N$623,0)+6,0)</f>
      </c>
      <c r="L576" t="str">
        <f>IF($J576=0,"",IF(INDEX('Прайс и заказ'!Q:Q,$J576)="","",INDEX('Прайс и заказ'!Q:Q,$J576)))</f>
      </c>
    </row>
    <row r="577" spans="1:12" customHeight="1" ht="40">
      <c r="A577" s="13" t="str">
        <f>IF($J577=0,"",IFERROR(_xlfn.IMAGE(INDEX('Прайс и заказ'!$O:$O,$J577)),""))</f>
      </c>
      <c r="B577" s="61" t="str">
        <f>IF($J577=0,"",IF(INDEX('Прайс и заказ'!B:B,$J577)="","",INDEX('Прайс и заказ'!B:B,$J577)))</f>
      </c>
      <c r="C577" s="64" t="str">
        <f>IF($J577=0,"",IF(INDEX('Прайс и заказ'!C:C,$J577)="","",INDEX('Прайс и заказ'!C:C,$J577)))</f>
      </c>
      <c r="D577" s="64" t="str">
        <f>IF($J577=0,"",IF(INDEX('Прайс и заказ'!D:D,$J577)="","",INDEX('Прайс и заказ'!D:D,$J577)))</f>
      </c>
      <c r="E577" s="61" t="str">
        <f>IF($J577=0,"",IF(INDEX('Прайс и заказ'!F:F,$J577)="","",INDEX('Прайс и заказ'!F:F,$J577)))</f>
      </c>
      <c r="F577" s="62" t="str">
        <f>IF($J577=0,"",IF(INDEX('Прайс и заказ'!I:I,$J577)="","",INDEX('Прайс и заказ'!I:I,$J577)))</f>
      </c>
      <c r="G577" s="63" t="str">
        <f>IF($J577=0,"",IF(INDEX('Прайс и заказ'!K:K,$J577)="","",INDEX('Прайс и заказ'!K:K,$J577)))</f>
      </c>
      <c r="H577" s="62" t="str">
        <f>IF($J577=0,"",IF(INDEX('Прайс и заказ'!L:L,$J577)="","",INDEX('Прайс и заказ'!L:L,$J577)))</f>
      </c>
      <c r="I577" s="13" t="str">
        <f>IF($J577=0,"",IF(INDEX('Прайс и заказ'!M:M,$J577)="","",INDEX('Прайс и заказ'!M:M,$J577)))</f>
      </c>
      <c r="J577" t="str">
        <f>IFERROR(MATCH(569,'Прайс и заказ'!$N$7:$N$623,0)+6,0)</f>
      </c>
      <c r="L577" t="str">
        <f>IF($J577=0,"",IF(INDEX('Прайс и заказ'!Q:Q,$J577)="","",INDEX('Прайс и заказ'!Q:Q,$J577)))</f>
      </c>
    </row>
    <row r="578" spans="1:12" customHeight="1" ht="40">
      <c r="A578" s="13" t="str">
        <f>IF($J578=0,"",IFERROR(_xlfn.IMAGE(INDEX('Прайс и заказ'!$O:$O,$J578)),""))</f>
      </c>
      <c r="B578" s="61" t="str">
        <f>IF($J578=0,"",IF(INDEX('Прайс и заказ'!B:B,$J578)="","",INDEX('Прайс и заказ'!B:B,$J578)))</f>
      </c>
      <c r="C578" s="64" t="str">
        <f>IF($J578=0,"",IF(INDEX('Прайс и заказ'!C:C,$J578)="","",INDEX('Прайс и заказ'!C:C,$J578)))</f>
      </c>
      <c r="D578" s="64" t="str">
        <f>IF($J578=0,"",IF(INDEX('Прайс и заказ'!D:D,$J578)="","",INDEX('Прайс и заказ'!D:D,$J578)))</f>
      </c>
      <c r="E578" s="61" t="str">
        <f>IF($J578=0,"",IF(INDEX('Прайс и заказ'!F:F,$J578)="","",INDEX('Прайс и заказ'!F:F,$J578)))</f>
      </c>
      <c r="F578" s="62" t="str">
        <f>IF($J578=0,"",IF(INDEX('Прайс и заказ'!I:I,$J578)="","",INDEX('Прайс и заказ'!I:I,$J578)))</f>
      </c>
      <c r="G578" s="63" t="str">
        <f>IF($J578=0,"",IF(INDEX('Прайс и заказ'!K:K,$J578)="","",INDEX('Прайс и заказ'!K:K,$J578)))</f>
      </c>
      <c r="H578" s="62" t="str">
        <f>IF($J578=0,"",IF(INDEX('Прайс и заказ'!L:L,$J578)="","",INDEX('Прайс и заказ'!L:L,$J578)))</f>
      </c>
      <c r="I578" s="13" t="str">
        <f>IF($J578=0,"",IF(INDEX('Прайс и заказ'!M:M,$J578)="","",INDEX('Прайс и заказ'!M:M,$J578)))</f>
      </c>
      <c r="J578" t="str">
        <f>IFERROR(MATCH(570,'Прайс и заказ'!$N$7:$N$623,0)+6,0)</f>
      </c>
      <c r="L578" t="str">
        <f>IF($J578=0,"",IF(INDEX('Прайс и заказ'!Q:Q,$J578)="","",INDEX('Прайс и заказ'!Q:Q,$J578)))</f>
      </c>
    </row>
    <row r="579" spans="1:12" customHeight="1" ht="40">
      <c r="A579" s="13" t="str">
        <f>IF($J579=0,"",IFERROR(_xlfn.IMAGE(INDEX('Прайс и заказ'!$O:$O,$J579)),""))</f>
      </c>
      <c r="B579" s="61" t="str">
        <f>IF($J579=0,"",IF(INDEX('Прайс и заказ'!B:B,$J579)="","",INDEX('Прайс и заказ'!B:B,$J579)))</f>
      </c>
      <c r="C579" s="64" t="str">
        <f>IF($J579=0,"",IF(INDEX('Прайс и заказ'!C:C,$J579)="","",INDEX('Прайс и заказ'!C:C,$J579)))</f>
      </c>
      <c r="D579" s="64" t="str">
        <f>IF($J579=0,"",IF(INDEX('Прайс и заказ'!D:D,$J579)="","",INDEX('Прайс и заказ'!D:D,$J579)))</f>
      </c>
      <c r="E579" s="61" t="str">
        <f>IF($J579=0,"",IF(INDEX('Прайс и заказ'!F:F,$J579)="","",INDEX('Прайс и заказ'!F:F,$J579)))</f>
      </c>
      <c r="F579" s="62" t="str">
        <f>IF($J579=0,"",IF(INDEX('Прайс и заказ'!I:I,$J579)="","",INDEX('Прайс и заказ'!I:I,$J579)))</f>
      </c>
      <c r="G579" s="63" t="str">
        <f>IF($J579=0,"",IF(INDEX('Прайс и заказ'!K:K,$J579)="","",INDEX('Прайс и заказ'!K:K,$J579)))</f>
      </c>
      <c r="H579" s="62" t="str">
        <f>IF($J579=0,"",IF(INDEX('Прайс и заказ'!L:L,$J579)="","",INDEX('Прайс и заказ'!L:L,$J579)))</f>
      </c>
      <c r="I579" s="13" t="str">
        <f>IF($J579=0,"",IF(INDEX('Прайс и заказ'!M:M,$J579)="","",INDEX('Прайс и заказ'!M:M,$J579)))</f>
      </c>
      <c r="J579" t="str">
        <f>IFERROR(MATCH(571,'Прайс и заказ'!$N$7:$N$623,0)+6,0)</f>
      </c>
      <c r="L579" t="str">
        <f>IF($J579=0,"",IF(INDEX('Прайс и заказ'!Q:Q,$J579)="","",INDEX('Прайс и заказ'!Q:Q,$J579)))</f>
      </c>
    </row>
    <row r="580" spans="1:12" customHeight="1" ht="40">
      <c r="A580" s="13" t="str">
        <f>IF($J580=0,"",IFERROR(_xlfn.IMAGE(INDEX('Прайс и заказ'!$O:$O,$J580)),""))</f>
      </c>
      <c r="B580" s="61" t="str">
        <f>IF($J580=0,"",IF(INDEX('Прайс и заказ'!B:B,$J580)="","",INDEX('Прайс и заказ'!B:B,$J580)))</f>
      </c>
      <c r="C580" s="64" t="str">
        <f>IF($J580=0,"",IF(INDEX('Прайс и заказ'!C:C,$J580)="","",INDEX('Прайс и заказ'!C:C,$J580)))</f>
      </c>
      <c r="D580" s="64" t="str">
        <f>IF($J580=0,"",IF(INDEX('Прайс и заказ'!D:D,$J580)="","",INDEX('Прайс и заказ'!D:D,$J580)))</f>
      </c>
      <c r="E580" s="61" t="str">
        <f>IF($J580=0,"",IF(INDEX('Прайс и заказ'!F:F,$J580)="","",INDEX('Прайс и заказ'!F:F,$J580)))</f>
      </c>
      <c r="F580" s="62" t="str">
        <f>IF($J580=0,"",IF(INDEX('Прайс и заказ'!I:I,$J580)="","",INDEX('Прайс и заказ'!I:I,$J580)))</f>
      </c>
      <c r="G580" s="63" t="str">
        <f>IF($J580=0,"",IF(INDEX('Прайс и заказ'!K:K,$J580)="","",INDEX('Прайс и заказ'!K:K,$J580)))</f>
      </c>
      <c r="H580" s="62" t="str">
        <f>IF($J580=0,"",IF(INDEX('Прайс и заказ'!L:L,$J580)="","",INDEX('Прайс и заказ'!L:L,$J580)))</f>
      </c>
      <c r="I580" s="13" t="str">
        <f>IF($J580=0,"",IF(INDEX('Прайс и заказ'!M:M,$J580)="","",INDEX('Прайс и заказ'!M:M,$J580)))</f>
      </c>
      <c r="J580" t="str">
        <f>IFERROR(MATCH(572,'Прайс и заказ'!$N$7:$N$623,0)+6,0)</f>
      </c>
      <c r="L580" t="str">
        <f>IF($J580=0,"",IF(INDEX('Прайс и заказ'!Q:Q,$J580)="","",INDEX('Прайс и заказ'!Q:Q,$J580)))</f>
      </c>
    </row>
    <row r="581" spans="1:12" customHeight="1" ht="40">
      <c r="A581" s="13" t="str">
        <f>IF($J581=0,"",IFERROR(_xlfn.IMAGE(INDEX('Прайс и заказ'!$O:$O,$J581)),""))</f>
      </c>
      <c r="B581" s="61" t="str">
        <f>IF($J581=0,"",IF(INDEX('Прайс и заказ'!B:B,$J581)="","",INDEX('Прайс и заказ'!B:B,$J581)))</f>
      </c>
      <c r="C581" s="64" t="str">
        <f>IF($J581=0,"",IF(INDEX('Прайс и заказ'!C:C,$J581)="","",INDEX('Прайс и заказ'!C:C,$J581)))</f>
      </c>
      <c r="D581" s="64" t="str">
        <f>IF($J581=0,"",IF(INDEX('Прайс и заказ'!D:D,$J581)="","",INDEX('Прайс и заказ'!D:D,$J581)))</f>
      </c>
      <c r="E581" s="61" t="str">
        <f>IF($J581=0,"",IF(INDEX('Прайс и заказ'!F:F,$J581)="","",INDEX('Прайс и заказ'!F:F,$J581)))</f>
      </c>
      <c r="F581" s="62" t="str">
        <f>IF($J581=0,"",IF(INDEX('Прайс и заказ'!I:I,$J581)="","",INDEX('Прайс и заказ'!I:I,$J581)))</f>
      </c>
      <c r="G581" s="63" t="str">
        <f>IF($J581=0,"",IF(INDEX('Прайс и заказ'!K:K,$J581)="","",INDEX('Прайс и заказ'!K:K,$J581)))</f>
      </c>
      <c r="H581" s="62" t="str">
        <f>IF($J581=0,"",IF(INDEX('Прайс и заказ'!L:L,$J581)="","",INDEX('Прайс и заказ'!L:L,$J581)))</f>
      </c>
      <c r="I581" s="13" t="str">
        <f>IF($J581=0,"",IF(INDEX('Прайс и заказ'!M:M,$J581)="","",INDEX('Прайс и заказ'!M:M,$J581)))</f>
      </c>
      <c r="J581" t="str">
        <f>IFERROR(MATCH(573,'Прайс и заказ'!$N$7:$N$623,0)+6,0)</f>
      </c>
      <c r="L581" t="str">
        <f>IF($J581=0,"",IF(INDEX('Прайс и заказ'!Q:Q,$J581)="","",INDEX('Прайс и заказ'!Q:Q,$J581)))</f>
      </c>
    </row>
    <row r="582" spans="1:12" customHeight="1" ht="40">
      <c r="A582" s="13" t="str">
        <f>IF($J582=0,"",IFERROR(_xlfn.IMAGE(INDEX('Прайс и заказ'!$O:$O,$J582)),""))</f>
      </c>
      <c r="B582" s="61" t="str">
        <f>IF($J582=0,"",IF(INDEX('Прайс и заказ'!B:B,$J582)="","",INDEX('Прайс и заказ'!B:B,$J582)))</f>
      </c>
      <c r="C582" s="64" t="str">
        <f>IF($J582=0,"",IF(INDEX('Прайс и заказ'!C:C,$J582)="","",INDEX('Прайс и заказ'!C:C,$J582)))</f>
      </c>
      <c r="D582" s="64" t="str">
        <f>IF($J582=0,"",IF(INDEX('Прайс и заказ'!D:D,$J582)="","",INDEX('Прайс и заказ'!D:D,$J582)))</f>
      </c>
      <c r="E582" s="61" t="str">
        <f>IF($J582=0,"",IF(INDEX('Прайс и заказ'!F:F,$J582)="","",INDEX('Прайс и заказ'!F:F,$J582)))</f>
      </c>
      <c r="F582" s="62" t="str">
        <f>IF($J582=0,"",IF(INDEX('Прайс и заказ'!I:I,$J582)="","",INDEX('Прайс и заказ'!I:I,$J582)))</f>
      </c>
      <c r="G582" s="63" t="str">
        <f>IF($J582=0,"",IF(INDEX('Прайс и заказ'!K:K,$J582)="","",INDEX('Прайс и заказ'!K:K,$J582)))</f>
      </c>
      <c r="H582" s="62" t="str">
        <f>IF($J582=0,"",IF(INDEX('Прайс и заказ'!L:L,$J582)="","",INDEX('Прайс и заказ'!L:L,$J582)))</f>
      </c>
      <c r="I582" s="13" t="str">
        <f>IF($J582=0,"",IF(INDEX('Прайс и заказ'!M:M,$J582)="","",INDEX('Прайс и заказ'!M:M,$J582)))</f>
      </c>
      <c r="J582" t="str">
        <f>IFERROR(MATCH(574,'Прайс и заказ'!$N$7:$N$623,0)+6,0)</f>
      </c>
      <c r="L582" t="str">
        <f>IF($J582=0,"",IF(INDEX('Прайс и заказ'!Q:Q,$J582)="","",INDEX('Прайс и заказ'!Q:Q,$J582)))</f>
      </c>
    </row>
    <row r="583" spans="1:12" customHeight="1" ht="40">
      <c r="A583" s="13" t="str">
        <f>IF($J583=0,"",IFERROR(_xlfn.IMAGE(INDEX('Прайс и заказ'!$O:$O,$J583)),""))</f>
      </c>
      <c r="B583" s="61" t="str">
        <f>IF($J583=0,"",IF(INDEX('Прайс и заказ'!B:B,$J583)="","",INDEX('Прайс и заказ'!B:B,$J583)))</f>
      </c>
      <c r="C583" s="64" t="str">
        <f>IF($J583=0,"",IF(INDEX('Прайс и заказ'!C:C,$J583)="","",INDEX('Прайс и заказ'!C:C,$J583)))</f>
      </c>
      <c r="D583" s="64" t="str">
        <f>IF($J583=0,"",IF(INDEX('Прайс и заказ'!D:D,$J583)="","",INDEX('Прайс и заказ'!D:D,$J583)))</f>
      </c>
      <c r="E583" s="61" t="str">
        <f>IF($J583=0,"",IF(INDEX('Прайс и заказ'!F:F,$J583)="","",INDEX('Прайс и заказ'!F:F,$J583)))</f>
      </c>
      <c r="F583" s="62" t="str">
        <f>IF($J583=0,"",IF(INDEX('Прайс и заказ'!I:I,$J583)="","",INDEX('Прайс и заказ'!I:I,$J583)))</f>
      </c>
      <c r="G583" s="63" t="str">
        <f>IF($J583=0,"",IF(INDEX('Прайс и заказ'!K:K,$J583)="","",INDEX('Прайс и заказ'!K:K,$J583)))</f>
      </c>
      <c r="H583" s="62" t="str">
        <f>IF($J583=0,"",IF(INDEX('Прайс и заказ'!L:L,$J583)="","",INDEX('Прайс и заказ'!L:L,$J583)))</f>
      </c>
      <c r="I583" s="13" t="str">
        <f>IF($J583=0,"",IF(INDEX('Прайс и заказ'!M:M,$J583)="","",INDEX('Прайс и заказ'!M:M,$J583)))</f>
      </c>
      <c r="J583" t="str">
        <f>IFERROR(MATCH(575,'Прайс и заказ'!$N$7:$N$623,0)+6,0)</f>
      </c>
      <c r="L583" t="str">
        <f>IF($J583=0,"",IF(INDEX('Прайс и заказ'!Q:Q,$J583)="","",INDEX('Прайс и заказ'!Q:Q,$J583)))</f>
      </c>
    </row>
    <row r="584" spans="1:12" customHeight="1" ht="40">
      <c r="A584" s="13" t="str">
        <f>IF($J584=0,"",IFERROR(_xlfn.IMAGE(INDEX('Прайс и заказ'!$O:$O,$J584)),""))</f>
      </c>
      <c r="B584" s="61" t="str">
        <f>IF($J584=0,"",IF(INDEX('Прайс и заказ'!B:B,$J584)="","",INDEX('Прайс и заказ'!B:B,$J584)))</f>
      </c>
      <c r="C584" s="64" t="str">
        <f>IF($J584=0,"",IF(INDEX('Прайс и заказ'!C:C,$J584)="","",INDEX('Прайс и заказ'!C:C,$J584)))</f>
      </c>
      <c r="D584" s="64" t="str">
        <f>IF($J584=0,"",IF(INDEX('Прайс и заказ'!D:D,$J584)="","",INDEX('Прайс и заказ'!D:D,$J584)))</f>
      </c>
      <c r="E584" s="61" t="str">
        <f>IF($J584=0,"",IF(INDEX('Прайс и заказ'!F:F,$J584)="","",INDEX('Прайс и заказ'!F:F,$J584)))</f>
      </c>
      <c r="F584" s="62" t="str">
        <f>IF($J584=0,"",IF(INDEX('Прайс и заказ'!I:I,$J584)="","",INDEX('Прайс и заказ'!I:I,$J584)))</f>
      </c>
      <c r="G584" s="63" t="str">
        <f>IF($J584=0,"",IF(INDEX('Прайс и заказ'!K:K,$J584)="","",INDEX('Прайс и заказ'!K:K,$J584)))</f>
      </c>
      <c r="H584" s="62" t="str">
        <f>IF($J584=0,"",IF(INDEX('Прайс и заказ'!L:L,$J584)="","",INDEX('Прайс и заказ'!L:L,$J584)))</f>
      </c>
      <c r="I584" s="13" t="str">
        <f>IF($J584=0,"",IF(INDEX('Прайс и заказ'!M:M,$J584)="","",INDEX('Прайс и заказ'!M:M,$J584)))</f>
      </c>
      <c r="J584" t="str">
        <f>IFERROR(MATCH(576,'Прайс и заказ'!$N$7:$N$623,0)+6,0)</f>
      </c>
      <c r="L584" t="str">
        <f>IF($J584=0,"",IF(INDEX('Прайс и заказ'!Q:Q,$J584)="","",INDEX('Прайс и заказ'!Q:Q,$J584)))</f>
      </c>
    </row>
    <row r="585" spans="1:12" customHeight="1" ht="40">
      <c r="A585" s="13" t="str">
        <f>IF($J585=0,"",IFERROR(_xlfn.IMAGE(INDEX('Прайс и заказ'!$O:$O,$J585)),""))</f>
      </c>
      <c r="B585" s="61" t="str">
        <f>IF($J585=0,"",IF(INDEX('Прайс и заказ'!B:B,$J585)="","",INDEX('Прайс и заказ'!B:B,$J585)))</f>
      </c>
      <c r="C585" s="64" t="str">
        <f>IF($J585=0,"",IF(INDEX('Прайс и заказ'!C:C,$J585)="","",INDEX('Прайс и заказ'!C:C,$J585)))</f>
      </c>
      <c r="D585" s="64" t="str">
        <f>IF($J585=0,"",IF(INDEX('Прайс и заказ'!D:D,$J585)="","",INDEX('Прайс и заказ'!D:D,$J585)))</f>
      </c>
      <c r="E585" s="61" t="str">
        <f>IF($J585=0,"",IF(INDEX('Прайс и заказ'!F:F,$J585)="","",INDEX('Прайс и заказ'!F:F,$J585)))</f>
      </c>
      <c r="F585" s="62" t="str">
        <f>IF($J585=0,"",IF(INDEX('Прайс и заказ'!I:I,$J585)="","",INDEX('Прайс и заказ'!I:I,$J585)))</f>
      </c>
      <c r="G585" s="63" t="str">
        <f>IF($J585=0,"",IF(INDEX('Прайс и заказ'!K:K,$J585)="","",INDEX('Прайс и заказ'!K:K,$J585)))</f>
      </c>
      <c r="H585" s="62" t="str">
        <f>IF($J585=0,"",IF(INDEX('Прайс и заказ'!L:L,$J585)="","",INDEX('Прайс и заказ'!L:L,$J585)))</f>
      </c>
      <c r="I585" s="13" t="str">
        <f>IF($J585=0,"",IF(INDEX('Прайс и заказ'!M:M,$J585)="","",INDEX('Прайс и заказ'!M:M,$J585)))</f>
      </c>
      <c r="J585" t="str">
        <f>IFERROR(MATCH(577,'Прайс и заказ'!$N$7:$N$623,0)+6,0)</f>
      </c>
      <c r="L585" t="str">
        <f>IF($J585=0,"",IF(INDEX('Прайс и заказ'!Q:Q,$J585)="","",INDEX('Прайс и заказ'!Q:Q,$J585)))</f>
      </c>
    </row>
    <row r="586" spans="1:12" customHeight="1" ht="40">
      <c r="A586" s="13" t="str">
        <f>IF($J586=0,"",IFERROR(_xlfn.IMAGE(INDEX('Прайс и заказ'!$O:$O,$J586)),""))</f>
      </c>
      <c r="B586" s="61" t="str">
        <f>IF($J586=0,"",IF(INDEX('Прайс и заказ'!B:B,$J586)="","",INDEX('Прайс и заказ'!B:B,$J586)))</f>
      </c>
      <c r="C586" s="64" t="str">
        <f>IF($J586=0,"",IF(INDEX('Прайс и заказ'!C:C,$J586)="","",INDEX('Прайс и заказ'!C:C,$J586)))</f>
      </c>
      <c r="D586" s="64" t="str">
        <f>IF($J586=0,"",IF(INDEX('Прайс и заказ'!D:D,$J586)="","",INDEX('Прайс и заказ'!D:D,$J586)))</f>
      </c>
      <c r="E586" s="61" t="str">
        <f>IF($J586=0,"",IF(INDEX('Прайс и заказ'!F:F,$J586)="","",INDEX('Прайс и заказ'!F:F,$J586)))</f>
      </c>
      <c r="F586" s="62" t="str">
        <f>IF($J586=0,"",IF(INDEX('Прайс и заказ'!I:I,$J586)="","",INDEX('Прайс и заказ'!I:I,$J586)))</f>
      </c>
      <c r="G586" s="63" t="str">
        <f>IF($J586=0,"",IF(INDEX('Прайс и заказ'!K:K,$J586)="","",INDEX('Прайс и заказ'!K:K,$J586)))</f>
      </c>
      <c r="H586" s="62" t="str">
        <f>IF($J586=0,"",IF(INDEX('Прайс и заказ'!L:L,$J586)="","",INDEX('Прайс и заказ'!L:L,$J586)))</f>
      </c>
      <c r="I586" s="13" t="str">
        <f>IF($J586=0,"",IF(INDEX('Прайс и заказ'!M:M,$J586)="","",INDEX('Прайс и заказ'!M:M,$J586)))</f>
      </c>
      <c r="J586" t="str">
        <f>IFERROR(MATCH(578,'Прайс и заказ'!$N$7:$N$623,0)+6,0)</f>
      </c>
      <c r="L586" t="str">
        <f>IF($J586=0,"",IF(INDEX('Прайс и заказ'!Q:Q,$J586)="","",INDEX('Прайс и заказ'!Q:Q,$J586)))</f>
      </c>
    </row>
    <row r="587" spans="1:12" customHeight="1" ht="40">
      <c r="A587" s="13" t="str">
        <f>IF($J587=0,"",IFERROR(_xlfn.IMAGE(INDEX('Прайс и заказ'!$O:$O,$J587)),""))</f>
      </c>
      <c r="B587" s="61" t="str">
        <f>IF($J587=0,"",IF(INDEX('Прайс и заказ'!B:B,$J587)="","",INDEX('Прайс и заказ'!B:B,$J587)))</f>
      </c>
      <c r="C587" s="64" t="str">
        <f>IF($J587=0,"",IF(INDEX('Прайс и заказ'!C:C,$J587)="","",INDEX('Прайс и заказ'!C:C,$J587)))</f>
      </c>
      <c r="D587" s="64" t="str">
        <f>IF($J587=0,"",IF(INDEX('Прайс и заказ'!D:D,$J587)="","",INDEX('Прайс и заказ'!D:D,$J587)))</f>
      </c>
      <c r="E587" s="61" t="str">
        <f>IF($J587=0,"",IF(INDEX('Прайс и заказ'!F:F,$J587)="","",INDEX('Прайс и заказ'!F:F,$J587)))</f>
      </c>
      <c r="F587" s="62" t="str">
        <f>IF($J587=0,"",IF(INDEX('Прайс и заказ'!I:I,$J587)="","",INDEX('Прайс и заказ'!I:I,$J587)))</f>
      </c>
      <c r="G587" s="63" t="str">
        <f>IF($J587=0,"",IF(INDEX('Прайс и заказ'!K:K,$J587)="","",INDEX('Прайс и заказ'!K:K,$J587)))</f>
      </c>
      <c r="H587" s="62" t="str">
        <f>IF($J587=0,"",IF(INDEX('Прайс и заказ'!L:L,$J587)="","",INDEX('Прайс и заказ'!L:L,$J587)))</f>
      </c>
      <c r="I587" s="13" t="str">
        <f>IF($J587=0,"",IF(INDEX('Прайс и заказ'!M:M,$J587)="","",INDEX('Прайс и заказ'!M:M,$J587)))</f>
      </c>
      <c r="J587" t="str">
        <f>IFERROR(MATCH(579,'Прайс и заказ'!$N$7:$N$623,0)+6,0)</f>
      </c>
      <c r="L587" t="str">
        <f>IF($J587=0,"",IF(INDEX('Прайс и заказ'!Q:Q,$J587)="","",INDEX('Прайс и заказ'!Q:Q,$J587)))</f>
      </c>
    </row>
    <row r="588" spans="1:12" customHeight="1" ht="40">
      <c r="A588" s="13" t="str">
        <f>IF($J588=0,"",IFERROR(_xlfn.IMAGE(INDEX('Прайс и заказ'!$O:$O,$J588)),""))</f>
      </c>
      <c r="B588" s="61" t="str">
        <f>IF($J588=0,"",IF(INDEX('Прайс и заказ'!B:B,$J588)="","",INDEX('Прайс и заказ'!B:B,$J588)))</f>
      </c>
      <c r="C588" s="64" t="str">
        <f>IF($J588=0,"",IF(INDEX('Прайс и заказ'!C:C,$J588)="","",INDEX('Прайс и заказ'!C:C,$J588)))</f>
      </c>
      <c r="D588" s="64" t="str">
        <f>IF($J588=0,"",IF(INDEX('Прайс и заказ'!D:D,$J588)="","",INDEX('Прайс и заказ'!D:D,$J588)))</f>
      </c>
      <c r="E588" s="61" t="str">
        <f>IF($J588=0,"",IF(INDEX('Прайс и заказ'!F:F,$J588)="","",INDEX('Прайс и заказ'!F:F,$J588)))</f>
      </c>
      <c r="F588" s="62" t="str">
        <f>IF($J588=0,"",IF(INDEX('Прайс и заказ'!I:I,$J588)="","",INDEX('Прайс и заказ'!I:I,$J588)))</f>
      </c>
      <c r="G588" s="63" t="str">
        <f>IF($J588=0,"",IF(INDEX('Прайс и заказ'!K:K,$J588)="","",INDEX('Прайс и заказ'!K:K,$J588)))</f>
      </c>
      <c r="H588" s="62" t="str">
        <f>IF($J588=0,"",IF(INDEX('Прайс и заказ'!L:L,$J588)="","",INDEX('Прайс и заказ'!L:L,$J588)))</f>
      </c>
      <c r="I588" s="13" t="str">
        <f>IF($J588=0,"",IF(INDEX('Прайс и заказ'!M:M,$J588)="","",INDEX('Прайс и заказ'!M:M,$J588)))</f>
      </c>
      <c r="J588" t="str">
        <f>IFERROR(MATCH(580,'Прайс и заказ'!$N$7:$N$623,0)+6,0)</f>
      </c>
      <c r="L588" t="str">
        <f>IF($J588=0,"",IF(INDEX('Прайс и заказ'!Q:Q,$J588)="","",INDEX('Прайс и заказ'!Q:Q,$J588)))</f>
      </c>
    </row>
    <row r="589" spans="1:12" customHeight="1" ht="40">
      <c r="A589" s="13" t="str">
        <f>IF($J589=0,"",IFERROR(_xlfn.IMAGE(INDEX('Прайс и заказ'!$O:$O,$J589)),""))</f>
      </c>
      <c r="B589" s="61" t="str">
        <f>IF($J589=0,"",IF(INDEX('Прайс и заказ'!B:B,$J589)="","",INDEX('Прайс и заказ'!B:B,$J589)))</f>
      </c>
      <c r="C589" s="64" t="str">
        <f>IF($J589=0,"",IF(INDEX('Прайс и заказ'!C:C,$J589)="","",INDEX('Прайс и заказ'!C:C,$J589)))</f>
      </c>
      <c r="D589" s="64" t="str">
        <f>IF($J589=0,"",IF(INDEX('Прайс и заказ'!D:D,$J589)="","",INDEX('Прайс и заказ'!D:D,$J589)))</f>
      </c>
      <c r="E589" s="61" t="str">
        <f>IF($J589=0,"",IF(INDEX('Прайс и заказ'!F:F,$J589)="","",INDEX('Прайс и заказ'!F:F,$J589)))</f>
      </c>
      <c r="F589" s="62" t="str">
        <f>IF($J589=0,"",IF(INDEX('Прайс и заказ'!I:I,$J589)="","",INDEX('Прайс и заказ'!I:I,$J589)))</f>
      </c>
      <c r="G589" s="63" t="str">
        <f>IF($J589=0,"",IF(INDEX('Прайс и заказ'!K:K,$J589)="","",INDEX('Прайс и заказ'!K:K,$J589)))</f>
      </c>
      <c r="H589" s="62" t="str">
        <f>IF($J589=0,"",IF(INDEX('Прайс и заказ'!L:L,$J589)="","",INDEX('Прайс и заказ'!L:L,$J589)))</f>
      </c>
      <c r="I589" s="13" t="str">
        <f>IF($J589=0,"",IF(INDEX('Прайс и заказ'!M:M,$J589)="","",INDEX('Прайс и заказ'!M:M,$J589)))</f>
      </c>
      <c r="J589" t="str">
        <f>IFERROR(MATCH(581,'Прайс и заказ'!$N$7:$N$623,0)+6,0)</f>
      </c>
      <c r="L589" t="str">
        <f>IF($J589=0,"",IF(INDEX('Прайс и заказ'!Q:Q,$J589)="","",INDEX('Прайс и заказ'!Q:Q,$J589)))</f>
      </c>
    </row>
    <row r="590" spans="1:12" customHeight="1" ht="40">
      <c r="A590" s="13" t="str">
        <f>IF($J590=0,"",IFERROR(_xlfn.IMAGE(INDEX('Прайс и заказ'!$O:$O,$J590)),""))</f>
      </c>
      <c r="B590" s="61" t="str">
        <f>IF($J590=0,"",IF(INDEX('Прайс и заказ'!B:B,$J590)="","",INDEX('Прайс и заказ'!B:B,$J590)))</f>
      </c>
      <c r="C590" s="64" t="str">
        <f>IF($J590=0,"",IF(INDEX('Прайс и заказ'!C:C,$J590)="","",INDEX('Прайс и заказ'!C:C,$J590)))</f>
      </c>
      <c r="D590" s="64" t="str">
        <f>IF($J590=0,"",IF(INDEX('Прайс и заказ'!D:D,$J590)="","",INDEX('Прайс и заказ'!D:D,$J590)))</f>
      </c>
      <c r="E590" s="61" t="str">
        <f>IF($J590=0,"",IF(INDEX('Прайс и заказ'!F:F,$J590)="","",INDEX('Прайс и заказ'!F:F,$J590)))</f>
      </c>
      <c r="F590" s="62" t="str">
        <f>IF($J590=0,"",IF(INDEX('Прайс и заказ'!I:I,$J590)="","",INDEX('Прайс и заказ'!I:I,$J590)))</f>
      </c>
      <c r="G590" s="63" t="str">
        <f>IF($J590=0,"",IF(INDEX('Прайс и заказ'!K:K,$J590)="","",INDEX('Прайс и заказ'!K:K,$J590)))</f>
      </c>
      <c r="H590" s="62" t="str">
        <f>IF($J590=0,"",IF(INDEX('Прайс и заказ'!L:L,$J590)="","",INDEX('Прайс и заказ'!L:L,$J590)))</f>
      </c>
      <c r="I590" s="13" t="str">
        <f>IF($J590=0,"",IF(INDEX('Прайс и заказ'!M:M,$J590)="","",INDEX('Прайс и заказ'!M:M,$J590)))</f>
      </c>
      <c r="J590" t="str">
        <f>IFERROR(MATCH(582,'Прайс и заказ'!$N$7:$N$623,0)+6,0)</f>
      </c>
      <c r="L590" t="str">
        <f>IF($J590=0,"",IF(INDEX('Прайс и заказ'!Q:Q,$J590)="","",INDEX('Прайс и заказ'!Q:Q,$J590)))</f>
      </c>
    </row>
    <row r="591" spans="1:12" customHeight="1" ht="40">
      <c r="A591" s="13" t="str">
        <f>IF($J591=0,"",IFERROR(_xlfn.IMAGE(INDEX('Прайс и заказ'!$O:$O,$J591)),""))</f>
      </c>
      <c r="B591" s="61" t="str">
        <f>IF($J591=0,"",IF(INDEX('Прайс и заказ'!B:B,$J591)="","",INDEX('Прайс и заказ'!B:B,$J591)))</f>
      </c>
      <c r="C591" s="64" t="str">
        <f>IF($J591=0,"",IF(INDEX('Прайс и заказ'!C:C,$J591)="","",INDEX('Прайс и заказ'!C:C,$J591)))</f>
      </c>
      <c r="D591" s="64" t="str">
        <f>IF($J591=0,"",IF(INDEX('Прайс и заказ'!D:D,$J591)="","",INDEX('Прайс и заказ'!D:D,$J591)))</f>
      </c>
      <c r="E591" s="61" t="str">
        <f>IF($J591=0,"",IF(INDEX('Прайс и заказ'!F:F,$J591)="","",INDEX('Прайс и заказ'!F:F,$J591)))</f>
      </c>
      <c r="F591" s="62" t="str">
        <f>IF($J591=0,"",IF(INDEX('Прайс и заказ'!I:I,$J591)="","",INDEX('Прайс и заказ'!I:I,$J591)))</f>
      </c>
      <c r="G591" s="63" t="str">
        <f>IF($J591=0,"",IF(INDEX('Прайс и заказ'!K:K,$J591)="","",INDEX('Прайс и заказ'!K:K,$J591)))</f>
      </c>
      <c r="H591" s="62" t="str">
        <f>IF($J591=0,"",IF(INDEX('Прайс и заказ'!L:L,$J591)="","",INDEX('Прайс и заказ'!L:L,$J591)))</f>
      </c>
      <c r="I591" s="13" t="str">
        <f>IF($J591=0,"",IF(INDEX('Прайс и заказ'!M:M,$J591)="","",INDEX('Прайс и заказ'!M:M,$J591)))</f>
      </c>
      <c r="J591" t="str">
        <f>IFERROR(MATCH(583,'Прайс и заказ'!$N$7:$N$623,0)+6,0)</f>
      </c>
      <c r="L591" t="str">
        <f>IF($J591=0,"",IF(INDEX('Прайс и заказ'!Q:Q,$J591)="","",INDEX('Прайс и заказ'!Q:Q,$J591)))</f>
      </c>
    </row>
    <row r="592" spans="1:12" customHeight="1" ht="40">
      <c r="A592" s="13" t="str">
        <f>IF($J592=0,"",IFERROR(_xlfn.IMAGE(INDEX('Прайс и заказ'!$O:$O,$J592)),""))</f>
      </c>
      <c r="B592" s="61" t="str">
        <f>IF($J592=0,"",IF(INDEX('Прайс и заказ'!B:B,$J592)="","",INDEX('Прайс и заказ'!B:B,$J592)))</f>
      </c>
      <c r="C592" s="64" t="str">
        <f>IF($J592=0,"",IF(INDEX('Прайс и заказ'!C:C,$J592)="","",INDEX('Прайс и заказ'!C:C,$J592)))</f>
      </c>
      <c r="D592" s="64" t="str">
        <f>IF($J592=0,"",IF(INDEX('Прайс и заказ'!D:D,$J592)="","",INDEX('Прайс и заказ'!D:D,$J592)))</f>
      </c>
      <c r="E592" s="61" t="str">
        <f>IF($J592=0,"",IF(INDEX('Прайс и заказ'!F:F,$J592)="","",INDEX('Прайс и заказ'!F:F,$J592)))</f>
      </c>
      <c r="F592" s="62" t="str">
        <f>IF($J592=0,"",IF(INDEX('Прайс и заказ'!I:I,$J592)="","",INDEX('Прайс и заказ'!I:I,$J592)))</f>
      </c>
      <c r="G592" s="63" t="str">
        <f>IF($J592=0,"",IF(INDEX('Прайс и заказ'!K:K,$J592)="","",INDEX('Прайс и заказ'!K:K,$J592)))</f>
      </c>
      <c r="H592" s="62" t="str">
        <f>IF($J592=0,"",IF(INDEX('Прайс и заказ'!L:L,$J592)="","",INDEX('Прайс и заказ'!L:L,$J592)))</f>
      </c>
      <c r="I592" s="13" t="str">
        <f>IF($J592=0,"",IF(INDEX('Прайс и заказ'!M:M,$J592)="","",INDEX('Прайс и заказ'!M:M,$J592)))</f>
      </c>
      <c r="J592" t="str">
        <f>IFERROR(MATCH(584,'Прайс и заказ'!$N$7:$N$623,0)+6,0)</f>
      </c>
      <c r="L592" t="str">
        <f>IF($J592=0,"",IF(INDEX('Прайс и заказ'!Q:Q,$J592)="","",INDEX('Прайс и заказ'!Q:Q,$J592)))</f>
      </c>
    </row>
    <row r="593" spans="1:12" customHeight="1" ht="40">
      <c r="A593" s="13" t="str">
        <f>IF($J593=0,"",IFERROR(_xlfn.IMAGE(INDEX('Прайс и заказ'!$O:$O,$J593)),""))</f>
      </c>
      <c r="B593" s="61" t="str">
        <f>IF($J593=0,"",IF(INDEX('Прайс и заказ'!B:B,$J593)="","",INDEX('Прайс и заказ'!B:B,$J593)))</f>
      </c>
      <c r="C593" s="64" t="str">
        <f>IF($J593=0,"",IF(INDEX('Прайс и заказ'!C:C,$J593)="","",INDEX('Прайс и заказ'!C:C,$J593)))</f>
      </c>
      <c r="D593" s="64" t="str">
        <f>IF($J593=0,"",IF(INDEX('Прайс и заказ'!D:D,$J593)="","",INDEX('Прайс и заказ'!D:D,$J593)))</f>
      </c>
      <c r="E593" s="61" t="str">
        <f>IF($J593=0,"",IF(INDEX('Прайс и заказ'!F:F,$J593)="","",INDEX('Прайс и заказ'!F:F,$J593)))</f>
      </c>
      <c r="F593" s="62" t="str">
        <f>IF($J593=0,"",IF(INDEX('Прайс и заказ'!I:I,$J593)="","",INDEX('Прайс и заказ'!I:I,$J593)))</f>
      </c>
      <c r="G593" s="63" t="str">
        <f>IF($J593=0,"",IF(INDEX('Прайс и заказ'!K:K,$J593)="","",INDEX('Прайс и заказ'!K:K,$J593)))</f>
      </c>
      <c r="H593" s="62" t="str">
        <f>IF($J593=0,"",IF(INDEX('Прайс и заказ'!L:L,$J593)="","",INDEX('Прайс и заказ'!L:L,$J593)))</f>
      </c>
      <c r="I593" s="13" t="str">
        <f>IF($J593=0,"",IF(INDEX('Прайс и заказ'!M:M,$J593)="","",INDEX('Прайс и заказ'!M:M,$J593)))</f>
      </c>
      <c r="J593" t="str">
        <f>IFERROR(MATCH(585,'Прайс и заказ'!$N$7:$N$623,0)+6,0)</f>
      </c>
      <c r="L593" t="str">
        <f>IF($J593=0,"",IF(INDEX('Прайс и заказ'!Q:Q,$J593)="","",INDEX('Прайс и заказ'!Q:Q,$J593)))</f>
      </c>
    </row>
    <row r="594" spans="1:12" customHeight="1" ht="40">
      <c r="A594" s="13" t="str">
        <f>IF($J594=0,"",IFERROR(_xlfn.IMAGE(INDEX('Прайс и заказ'!$O:$O,$J594)),""))</f>
      </c>
      <c r="B594" s="61" t="str">
        <f>IF($J594=0,"",IF(INDEX('Прайс и заказ'!B:B,$J594)="","",INDEX('Прайс и заказ'!B:B,$J594)))</f>
      </c>
      <c r="C594" s="64" t="str">
        <f>IF($J594=0,"",IF(INDEX('Прайс и заказ'!C:C,$J594)="","",INDEX('Прайс и заказ'!C:C,$J594)))</f>
      </c>
      <c r="D594" s="64" t="str">
        <f>IF($J594=0,"",IF(INDEX('Прайс и заказ'!D:D,$J594)="","",INDEX('Прайс и заказ'!D:D,$J594)))</f>
      </c>
      <c r="E594" s="61" t="str">
        <f>IF($J594=0,"",IF(INDEX('Прайс и заказ'!F:F,$J594)="","",INDEX('Прайс и заказ'!F:F,$J594)))</f>
      </c>
      <c r="F594" s="62" t="str">
        <f>IF($J594=0,"",IF(INDEX('Прайс и заказ'!I:I,$J594)="","",INDEX('Прайс и заказ'!I:I,$J594)))</f>
      </c>
      <c r="G594" s="63" t="str">
        <f>IF($J594=0,"",IF(INDEX('Прайс и заказ'!K:K,$J594)="","",INDEX('Прайс и заказ'!K:K,$J594)))</f>
      </c>
      <c r="H594" s="62" t="str">
        <f>IF($J594=0,"",IF(INDEX('Прайс и заказ'!L:L,$J594)="","",INDEX('Прайс и заказ'!L:L,$J594)))</f>
      </c>
      <c r="I594" s="13" t="str">
        <f>IF($J594=0,"",IF(INDEX('Прайс и заказ'!M:M,$J594)="","",INDEX('Прайс и заказ'!M:M,$J594)))</f>
      </c>
      <c r="J594" t="str">
        <f>IFERROR(MATCH(586,'Прайс и заказ'!$N$7:$N$623,0)+6,0)</f>
      </c>
      <c r="L594" t="str">
        <f>IF($J594=0,"",IF(INDEX('Прайс и заказ'!Q:Q,$J594)="","",INDEX('Прайс и заказ'!Q:Q,$J594)))</f>
      </c>
    </row>
    <row r="595" spans="1:12" customHeight="1" ht="40">
      <c r="A595" s="13" t="str">
        <f>IF($J595=0,"",IFERROR(_xlfn.IMAGE(INDEX('Прайс и заказ'!$O:$O,$J595)),""))</f>
      </c>
      <c r="B595" s="61" t="str">
        <f>IF($J595=0,"",IF(INDEX('Прайс и заказ'!B:B,$J595)="","",INDEX('Прайс и заказ'!B:B,$J595)))</f>
      </c>
      <c r="C595" s="64" t="str">
        <f>IF($J595=0,"",IF(INDEX('Прайс и заказ'!C:C,$J595)="","",INDEX('Прайс и заказ'!C:C,$J595)))</f>
      </c>
      <c r="D595" s="64" t="str">
        <f>IF($J595=0,"",IF(INDEX('Прайс и заказ'!D:D,$J595)="","",INDEX('Прайс и заказ'!D:D,$J595)))</f>
      </c>
      <c r="E595" s="61" t="str">
        <f>IF($J595=0,"",IF(INDEX('Прайс и заказ'!F:F,$J595)="","",INDEX('Прайс и заказ'!F:F,$J595)))</f>
      </c>
      <c r="F595" s="62" t="str">
        <f>IF($J595=0,"",IF(INDEX('Прайс и заказ'!I:I,$J595)="","",INDEX('Прайс и заказ'!I:I,$J595)))</f>
      </c>
      <c r="G595" s="63" t="str">
        <f>IF($J595=0,"",IF(INDEX('Прайс и заказ'!K:K,$J595)="","",INDEX('Прайс и заказ'!K:K,$J595)))</f>
      </c>
      <c r="H595" s="62" t="str">
        <f>IF($J595=0,"",IF(INDEX('Прайс и заказ'!L:L,$J595)="","",INDEX('Прайс и заказ'!L:L,$J595)))</f>
      </c>
      <c r="I595" s="13" t="str">
        <f>IF($J595=0,"",IF(INDEX('Прайс и заказ'!M:M,$J595)="","",INDEX('Прайс и заказ'!M:M,$J595)))</f>
      </c>
      <c r="J595" t="str">
        <f>IFERROR(MATCH(587,'Прайс и заказ'!$N$7:$N$623,0)+6,0)</f>
      </c>
      <c r="L595" t="str">
        <f>IF($J595=0,"",IF(INDEX('Прайс и заказ'!Q:Q,$J595)="","",INDEX('Прайс и заказ'!Q:Q,$J595)))</f>
      </c>
    </row>
    <row r="596" spans="1:12" customHeight="1" ht="40">
      <c r="A596" s="13" t="str">
        <f>IF($J596=0,"",IFERROR(_xlfn.IMAGE(INDEX('Прайс и заказ'!$O:$O,$J596)),""))</f>
      </c>
      <c r="B596" s="61" t="str">
        <f>IF($J596=0,"",IF(INDEX('Прайс и заказ'!B:B,$J596)="","",INDEX('Прайс и заказ'!B:B,$J596)))</f>
      </c>
      <c r="C596" s="64" t="str">
        <f>IF($J596=0,"",IF(INDEX('Прайс и заказ'!C:C,$J596)="","",INDEX('Прайс и заказ'!C:C,$J596)))</f>
      </c>
      <c r="D596" s="64" t="str">
        <f>IF($J596=0,"",IF(INDEX('Прайс и заказ'!D:D,$J596)="","",INDEX('Прайс и заказ'!D:D,$J596)))</f>
      </c>
      <c r="E596" s="61" t="str">
        <f>IF($J596=0,"",IF(INDEX('Прайс и заказ'!F:F,$J596)="","",INDEX('Прайс и заказ'!F:F,$J596)))</f>
      </c>
      <c r="F596" s="62" t="str">
        <f>IF($J596=0,"",IF(INDEX('Прайс и заказ'!I:I,$J596)="","",INDEX('Прайс и заказ'!I:I,$J596)))</f>
      </c>
      <c r="G596" s="63" t="str">
        <f>IF($J596=0,"",IF(INDEX('Прайс и заказ'!K:K,$J596)="","",INDEX('Прайс и заказ'!K:K,$J596)))</f>
      </c>
      <c r="H596" s="62" t="str">
        <f>IF($J596=0,"",IF(INDEX('Прайс и заказ'!L:L,$J596)="","",INDEX('Прайс и заказ'!L:L,$J596)))</f>
      </c>
      <c r="I596" s="13" t="str">
        <f>IF($J596=0,"",IF(INDEX('Прайс и заказ'!M:M,$J596)="","",INDEX('Прайс и заказ'!M:M,$J596)))</f>
      </c>
      <c r="J596" t="str">
        <f>IFERROR(MATCH(588,'Прайс и заказ'!$N$7:$N$623,0)+6,0)</f>
      </c>
      <c r="L596" t="str">
        <f>IF($J596=0,"",IF(INDEX('Прайс и заказ'!Q:Q,$J596)="","",INDEX('Прайс и заказ'!Q:Q,$J596)))</f>
      </c>
    </row>
    <row r="597" spans="1:12" customHeight="1" ht="40">
      <c r="A597" s="13" t="str">
        <f>IF($J597=0,"",IFERROR(_xlfn.IMAGE(INDEX('Прайс и заказ'!$O:$O,$J597)),""))</f>
      </c>
      <c r="B597" s="61" t="str">
        <f>IF($J597=0,"",IF(INDEX('Прайс и заказ'!B:B,$J597)="","",INDEX('Прайс и заказ'!B:B,$J597)))</f>
      </c>
      <c r="C597" s="64" t="str">
        <f>IF($J597=0,"",IF(INDEX('Прайс и заказ'!C:C,$J597)="","",INDEX('Прайс и заказ'!C:C,$J597)))</f>
      </c>
      <c r="D597" s="64" t="str">
        <f>IF($J597=0,"",IF(INDEX('Прайс и заказ'!D:D,$J597)="","",INDEX('Прайс и заказ'!D:D,$J597)))</f>
      </c>
      <c r="E597" s="61" t="str">
        <f>IF($J597=0,"",IF(INDEX('Прайс и заказ'!F:F,$J597)="","",INDEX('Прайс и заказ'!F:F,$J597)))</f>
      </c>
      <c r="F597" s="62" t="str">
        <f>IF($J597=0,"",IF(INDEX('Прайс и заказ'!I:I,$J597)="","",INDEX('Прайс и заказ'!I:I,$J597)))</f>
      </c>
      <c r="G597" s="63" t="str">
        <f>IF($J597=0,"",IF(INDEX('Прайс и заказ'!K:K,$J597)="","",INDEX('Прайс и заказ'!K:K,$J597)))</f>
      </c>
      <c r="H597" s="62" t="str">
        <f>IF($J597=0,"",IF(INDEX('Прайс и заказ'!L:L,$J597)="","",INDEX('Прайс и заказ'!L:L,$J597)))</f>
      </c>
      <c r="I597" s="13" t="str">
        <f>IF($J597=0,"",IF(INDEX('Прайс и заказ'!M:M,$J597)="","",INDEX('Прайс и заказ'!M:M,$J597)))</f>
      </c>
      <c r="J597" t="str">
        <f>IFERROR(MATCH(589,'Прайс и заказ'!$N$7:$N$623,0)+6,0)</f>
      </c>
      <c r="L597" t="str">
        <f>IF($J597=0,"",IF(INDEX('Прайс и заказ'!Q:Q,$J597)="","",INDEX('Прайс и заказ'!Q:Q,$J597)))</f>
      </c>
    </row>
    <row r="598" spans="1:12" customHeight="1" ht="40">
      <c r="A598" s="13" t="str">
        <f>IF($J598=0,"",IFERROR(_xlfn.IMAGE(INDEX('Прайс и заказ'!$O:$O,$J598)),""))</f>
      </c>
      <c r="B598" s="61" t="str">
        <f>IF($J598=0,"",IF(INDEX('Прайс и заказ'!B:B,$J598)="","",INDEX('Прайс и заказ'!B:B,$J598)))</f>
      </c>
      <c r="C598" s="64" t="str">
        <f>IF($J598=0,"",IF(INDEX('Прайс и заказ'!C:C,$J598)="","",INDEX('Прайс и заказ'!C:C,$J598)))</f>
      </c>
      <c r="D598" s="64" t="str">
        <f>IF($J598=0,"",IF(INDEX('Прайс и заказ'!D:D,$J598)="","",INDEX('Прайс и заказ'!D:D,$J598)))</f>
      </c>
      <c r="E598" s="61" t="str">
        <f>IF($J598=0,"",IF(INDEX('Прайс и заказ'!F:F,$J598)="","",INDEX('Прайс и заказ'!F:F,$J598)))</f>
      </c>
      <c r="F598" s="62" t="str">
        <f>IF($J598=0,"",IF(INDEX('Прайс и заказ'!I:I,$J598)="","",INDEX('Прайс и заказ'!I:I,$J598)))</f>
      </c>
      <c r="G598" s="63" t="str">
        <f>IF($J598=0,"",IF(INDEX('Прайс и заказ'!K:K,$J598)="","",INDEX('Прайс и заказ'!K:K,$J598)))</f>
      </c>
      <c r="H598" s="62" t="str">
        <f>IF($J598=0,"",IF(INDEX('Прайс и заказ'!L:L,$J598)="","",INDEX('Прайс и заказ'!L:L,$J598)))</f>
      </c>
      <c r="I598" s="13" t="str">
        <f>IF($J598=0,"",IF(INDEX('Прайс и заказ'!M:M,$J598)="","",INDEX('Прайс и заказ'!M:M,$J598)))</f>
      </c>
      <c r="J598" t="str">
        <f>IFERROR(MATCH(590,'Прайс и заказ'!$N$7:$N$623,0)+6,0)</f>
      </c>
      <c r="L598" t="str">
        <f>IF($J598=0,"",IF(INDEX('Прайс и заказ'!Q:Q,$J598)="","",INDEX('Прайс и заказ'!Q:Q,$J598)))</f>
      </c>
    </row>
    <row r="599" spans="1:12" customHeight="1" ht="40">
      <c r="A599" s="13" t="str">
        <f>IF($J599=0,"",IFERROR(_xlfn.IMAGE(INDEX('Прайс и заказ'!$O:$O,$J599)),""))</f>
      </c>
      <c r="B599" s="61" t="str">
        <f>IF($J599=0,"",IF(INDEX('Прайс и заказ'!B:B,$J599)="","",INDEX('Прайс и заказ'!B:B,$J599)))</f>
      </c>
      <c r="C599" s="64" t="str">
        <f>IF($J599=0,"",IF(INDEX('Прайс и заказ'!C:C,$J599)="","",INDEX('Прайс и заказ'!C:C,$J599)))</f>
      </c>
      <c r="D599" s="64" t="str">
        <f>IF($J599=0,"",IF(INDEX('Прайс и заказ'!D:D,$J599)="","",INDEX('Прайс и заказ'!D:D,$J599)))</f>
      </c>
      <c r="E599" s="61" t="str">
        <f>IF($J599=0,"",IF(INDEX('Прайс и заказ'!F:F,$J599)="","",INDEX('Прайс и заказ'!F:F,$J599)))</f>
      </c>
      <c r="F599" s="62" t="str">
        <f>IF($J599=0,"",IF(INDEX('Прайс и заказ'!I:I,$J599)="","",INDEX('Прайс и заказ'!I:I,$J599)))</f>
      </c>
      <c r="G599" s="63" t="str">
        <f>IF($J599=0,"",IF(INDEX('Прайс и заказ'!K:K,$J599)="","",INDEX('Прайс и заказ'!K:K,$J599)))</f>
      </c>
      <c r="H599" s="62" t="str">
        <f>IF($J599=0,"",IF(INDEX('Прайс и заказ'!L:L,$J599)="","",INDEX('Прайс и заказ'!L:L,$J599)))</f>
      </c>
      <c r="I599" s="13" t="str">
        <f>IF($J599=0,"",IF(INDEX('Прайс и заказ'!M:M,$J599)="","",INDEX('Прайс и заказ'!M:M,$J599)))</f>
      </c>
      <c r="J599" t="str">
        <f>IFERROR(MATCH(591,'Прайс и заказ'!$N$7:$N$623,0)+6,0)</f>
      </c>
      <c r="L599" t="str">
        <f>IF($J599=0,"",IF(INDEX('Прайс и заказ'!Q:Q,$J599)="","",INDEX('Прайс и заказ'!Q:Q,$J599)))</f>
      </c>
    </row>
    <row r="600" spans="1:12" customHeight="1" ht="40">
      <c r="A600" s="13" t="str">
        <f>IF($J600=0,"",IFERROR(_xlfn.IMAGE(INDEX('Прайс и заказ'!$O:$O,$J600)),""))</f>
      </c>
      <c r="B600" s="61" t="str">
        <f>IF($J600=0,"",IF(INDEX('Прайс и заказ'!B:B,$J600)="","",INDEX('Прайс и заказ'!B:B,$J600)))</f>
      </c>
      <c r="C600" s="64" t="str">
        <f>IF($J600=0,"",IF(INDEX('Прайс и заказ'!C:C,$J600)="","",INDEX('Прайс и заказ'!C:C,$J600)))</f>
      </c>
      <c r="D600" s="64" t="str">
        <f>IF($J600=0,"",IF(INDEX('Прайс и заказ'!D:D,$J600)="","",INDEX('Прайс и заказ'!D:D,$J600)))</f>
      </c>
      <c r="E600" s="61" t="str">
        <f>IF($J600=0,"",IF(INDEX('Прайс и заказ'!F:F,$J600)="","",INDEX('Прайс и заказ'!F:F,$J600)))</f>
      </c>
      <c r="F600" s="62" t="str">
        <f>IF($J600=0,"",IF(INDEX('Прайс и заказ'!I:I,$J600)="","",INDEX('Прайс и заказ'!I:I,$J600)))</f>
      </c>
      <c r="G600" s="63" t="str">
        <f>IF($J600=0,"",IF(INDEX('Прайс и заказ'!K:K,$J600)="","",INDEX('Прайс и заказ'!K:K,$J600)))</f>
      </c>
      <c r="H600" s="62" t="str">
        <f>IF($J600=0,"",IF(INDEX('Прайс и заказ'!L:L,$J600)="","",INDEX('Прайс и заказ'!L:L,$J600)))</f>
      </c>
      <c r="I600" s="13" t="str">
        <f>IF($J600=0,"",IF(INDEX('Прайс и заказ'!M:M,$J600)="","",INDEX('Прайс и заказ'!M:M,$J600)))</f>
      </c>
      <c r="J600" t="str">
        <f>IFERROR(MATCH(592,'Прайс и заказ'!$N$7:$N$623,0)+6,0)</f>
      </c>
      <c r="L600" t="str">
        <f>IF($J600=0,"",IF(INDEX('Прайс и заказ'!Q:Q,$J600)="","",INDEX('Прайс и заказ'!Q:Q,$J600)))</f>
      </c>
    </row>
    <row r="601" spans="1:12" customHeight="1" ht="40">
      <c r="A601" s="13" t="str">
        <f>IF($J601=0,"",IFERROR(_xlfn.IMAGE(INDEX('Прайс и заказ'!$O:$O,$J601)),""))</f>
      </c>
      <c r="B601" s="61" t="str">
        <f>IF($J601=0,"",IF(INDEX('Прайс и заказ'!B:B,$J601)="","",INDEX('Прайс и заказ'!B:B,$J601)))</f>
      </c>
      <c r="C601" s="64" t="str">
        <f>IF($J601=0,"",IF(INDEX('Прайс и заказ'!C:C,$J601)="","",INDEX('Прайс и заказ'!C:C,$J601)))</f>
      </c>
      <c r="D601" s="64" t="str">
        <f>IF($J601=0,"",IF(INDEX('Прайс и заказ'!D:D,$J601)="","",INDEX('Прайс и заказ'!D:D,$J601)))</f>
      </c>
      <c r="E601" s="61" t="str">
        <f>IF($J601=0,"",IF(INDEX('Прайс и заказ'!F:F,$J601)="","",INDEX('Прайс и заказ'!F:F,$J601)))</f>
      </c>
      <c r="F601" s="62" t="str">
        <f>IF($J601=0,"",IF(INDEX('Прайс и заказ'!I:I,$J601)="","",INDEX('Прайс и заказ'!I:I,$J601)))</f>
      </c>
      <c r="G601" s="63" t="str">
        <f>IF($J601=0,"",IF(INDEX('Прайс и заказ'!K:K,$J601)="","",INDEX('Прайс и заказ'!K:K,$J601)))</f>
      </c>
      <c r="H601" s="62" t="str">
        <f>IF($J601=0,"",IF(INDEX('Прайс и заказ'!L:L,$J601)="","",INDEX('Прайс и заказ'!L:L,$J601)))</f>
      </c>
      <c r="I601" s="13" t="str">
        <f>IF($J601=0,"",IF(INDEX('Прайс и заказ'!M:M,$J601)="","",INDEX('Прайс и заказ'!M:M,$J601)))</f>
      </c>
      <c r="J601" t="str">
        <f>IFERROR(MATCH(593,'Прайс и заказ'!$N$7:$N$623,0)+6,0)</f>
      </c>
      <c r="L601" t="str">
        <f>IF($J601=0,"",IF(INDEX('Прайс и заказ'!Q:Q,$J601)="","",INDEX('Прайс и заказ'!Q:Q,$J601)))</f>
      </c>
    </row>
    <row r="602" spans="1:12" customHeight="1" ht="40">
      <c r="A602" s="13" t="str">
        <f>IF($J602=0,"",IFERROR(_xlfn.IMAGE(INDEX('Прайс и заказ'!$O:$O,$J602)),""))</f>
      </c>
      <c r="B602" s="61" t="str">
        <f>IF($J602=0,"",IF(INDEX('Прайс и заказ'!B:B,$J602)="","",INDEX('Прайс и заказ'!B:B,$J602)))</f>
      </c>
      <c r="C602" s="64" t="str">
        <f>IF($J602=0,"",IF(INDEX('Прайс и заказ'!C:C,$J602)="","",INDEX('Прайс и заказ'!C:C,$J602)))</f>
      </c>
      <c r="D602" s="64" t="str">
        <f>IF($J602=0,"",IF(INDEX('Прайс и заказ'!D:D,$J602)="","",INDEX('Прайс и заказ'!D:D,$J602)))</f>
      </c>
      <c r="E602" s="61" t="str">
        <f>IF($J602=0,"",IF(INDEX('Прайс и заказ'!F:F,$J602)="","",INDEX('Прайс и заказ'!F:F,$J602)))</f>
      </c>
      <c r="F602" s="62" t="str">
        <f>IF($J602=0,"",IF(INDEX('Прайс и заказ'!I:I,$J602)="","",INDEX('Прайс и заказ'!I:I,$J602)))</f>
      </c>
      <c r="G602" s="63" t="str">
        <f>IF($J602=0,"",IF(INDEX('Прайс и заказ'!K:K,$J602)="","",INDEX('Прайс и заказ'!K:K,$J602)))</f>
      </c>
      <c r="H602" s="62" t="str">
        <f>IF($J602=0,"",IF(INDEX('Прайс и заказ'!L:L,$J602)="","",INDEX('Прайс и заказ'!L:L,$J602)))</f>
      </c>
      <c r="I602" s="13" t="str">
        <f>IF($J602=0,"",IF(INDEX('Прайс и заказ'!M:M,$J602)="","",INDEX('Прайс и заказ'!M:M,$J602)))</f>
      </c>
      <c r="J602" t="str">
        <f>IFERROR(MATCH(594,'Прайс и заказ'!$N$7:$N$623,0)+6,0)</f>
      </c>
      <c r="L602" t="str">
        <f>IF($J602=0,"",IF(INDEX('Прайс и заказ'!Q:Q,$J602)="","",INDEX('Прайс и заказ'!Q:Q,$J602)))</f>
      </c>
    </row>
    <row r="603" spans="1:12" customHeight="1" ht="40">
      <c r="A603" s="13" t="str">
        <f>IF($J603=0,"",IFERROR(_xlfn.IMAGE(INDEX('Прайс и заказ'!$O:$O,$J603)),""))</f>
      </c>
      <c r="B603" s="61" t="str">
        <f>IF($J603=0,"",IF(INDEX('Прайс и заказ'!B:B,$J603)="","",INDEX('Прайс и заказ'!B:B,$J603)))</f>
      </c>
      <c r="C603" s="64" t="str">
        <f>IF($J603=0,"",IF(INDEX('Прайс и заказ'!C:C,$J603)="","",INDEX('Прайс и заказ'!C:C,$J603)))</f>
      </c>
      <c r="D603" s="64" t="str">
        <f>IF($J603=0,"",IF(INDEX('Прайс и заказ'!D:D,$J603)="","",INDEX('Прайс и заказ'!D:D,$J603)))</f>
      </c>
      <c r="E603" s="61" t="str">
        <f>IF($J603=0,"",IF(INDEX('Прайс и заказ'!F:F,$J603)="","",INDEX('Прайс и заказ'!F:F,$J603)))</f>
      </c>
      <c r="F603" s="62" t="str">
        <f>IF($J603=0,"",IF(INDEX('Прайс и заказ'!I:I,$J603)="","",INDEX('Прайс и заказ'!I:I,$J603)))</f>
      </c>
      <c r="G603" s="63" t="str">
        <f>IF($J603=0,"",IF(INDEX('Прайс и заказ'!K:K,$J603)="","",INDEX('Прайс и заказ'!K:K,$J603)))</f>
      </c>
      <c r="H603" s="62" t="str">
        <f>IF($J603=0,"",IF(INDEX('Прайс и заказ'!L:L,$J603)="","",INDEX('Прайс и заказ'!L:L,$J603)))</f>
      </c>
      <c r="I603" s="13" t="str">
        <f>IF($J603=0,"",IF(INDEX('Прайс и заказ'!M:M,$J603)="","",INDEX('Прайс и заказ'!M:M,$J603)))</f>
      </c>
      <c r="J603" t="str">
        <f>IFERROR(MATCH(595,'Прайс и заказ'!$N$7:$N$623,0)+6,0)</f>
      </c>
      <c r="L603" t="str">
        <f>IF($J603=0,"",IF(INDEX('Прайс и заказ'!Q:Q,$J603)="","",INDEX('Прайс и заказ'!Q:Q,$J603)))</f>
      </c>
    </row>
    <row r="604" spans="1:12" customHeight="1" ht="40">
      <c r="A604" s="13" t="str">
        <f>IF($J604=0,"",IFERROR(_xlfn.IMAGE(INDEX('Прайс и заказ'!$O:$O,$J604)),""))</f>
      </c>
      <c r="B604" s="61" t="str">
        <f>IF($J604=0,"",IF(INDEX('Прайс и заказ'!B:B,$J604)="","",INDEX('Прайс и заказ'!B:B,$J604)))</f>
      </c>
      <c r="C604" s="64" t="str">
        <f>IF($J604=0,"",IF(INDEX('Прайс и заказ'!C:C,$J604)="","",INDEX('Прайс и заказ'!C:C,$J604)))</f>
      </c>
      <c r="D604" s="64" t="str">
        <f>IF($J604=0,"",IF(INDEX('Прайс и заказ'!D:D,$J604)="","",INDEX('Прайс и заказ'!D:D,$J604)))</f>
      </c>
      <c r="E604" s="61" t="str">
        <f>IF($J604=0,"",IF(INDEX('Прайс и заказ'!F:F,$J604)="","",INDEX('Прайс и заказ'!F:F,$J604)))</f>
      </c>
      <c r="F604" s="62" t="str">
        <f>IF($J604=0,"",IF(INDEX('Прайс и заказ'!I:I,$J604)="","",INDEX('Прайс и заказ'!I:I,$J604)))</f>
      </c>
      <c r="G604" s="63" t="str">
        <f>IF($J604=0,"",IF(INDEX('Прайс и заказ'!K:K,$J604)="","",INDEX('Прайс и заказ'!K:K,$J604)))</f>
      </c>
      <c r="H604" s="62" t="str">
        <f>IF($J604=0,"",IF(INDEX('Прайс и заказ'!L:L,$J604)="","",INDEX('Прайс и заказ'!L:L,$J604)))</f>
      </c>
      <c r="I604" s="13" t="str">
        <f>IF($J604=0,"",IF(INDEX('Прайс и заказ'!M:M,$J604)="","",INDEX('Прайс и заказ'!M:M,$J604)))</f>
      </c>
      <c r="J604" t="str">
        <f>IFERROR(MATCH(596,'Прайс и заказ'!$N$7:$N$623,0)+6,0)</f>
      </c>
      <c r="L604" t="str">
        <f>IF($J604=0,"",IF(INDEX('Прайс и заказ'!Q:Q,$J604)="","",INDEX('Прайс и заказ'!Q:Q,$J604)))</f>
      </c>
    </row>
    <row r="605" spans="1:12" customHeight="1" ht="40">
      <c r="A605" s="13" t="str">
        <f>IF($J605=0,"",IFERROR(_xlfn.IMAGE(INDEX('Прайс и заказ'!$O:$O,$J605)),""))</f>
      </c>
      <c r="B605" s="61" t="str">
        <f>IF($J605=0,"",IF(INDEX('Прайс и заказ'!B:B,$J605)="","",INDEX('Прайс и заказ'!B:B,$J605)))</f>
      </c>
      <c r="C605" s="64" t="str">
        <f>IF($J605=0,"",IF(INDEX('Прайс и заказ'!C:C,$J605)="","",INDEX('Прайс и заказ'!C:C,$J605)))</f>
      </c>
      <c r="D605" s="64" t="str">
        <f>IF($J605=0,"",IF(INDEX('Прайс и заказ'!D:D,$J605)="","",INDEX('Прайс и заказ'!D:D,$J605)))</f>
      </c>
      <c r="E605" s="61" t="str">
        <f>IF($J605=0,"",IF(INDEX('Прайс и заказ'!F:F,$J605)="","",INDEX('Прайс и заказ'!F:F,$J605)))</f>
      </c>
      <c r="F605" s="62" t="str">
        <f>IF($J605=0,"",IF(INDEX('Прайс и заказ'!I:I,$J605)="","",INDEX('Прайс и заказ'!I:I,$J605)))</f>
      </c>
      <c r="G605" s="63" t="str">
        <f>IF($J605=0,"",IF(INDEX('Прайс и заказ'!K:K,$J605)="","",INDEX('Прайс и заказ'!K:K,$J605)))</f>
      </c>
      <c r="H605" s="62" t="str">
        <f>IF($J605=0,"",IF(INDEX('Прайс и заказ'!L:L,$J605)="","",INDEX('Прайс и заказ'!L:L,$J605)))</f>
      </c>
      <c r="I605" s="13" t="str">
        <f>IF($J605=0,"",IF(INDEX('Прайс и заказ'!M:M,$J605)="","",INDEX('Прайс и заказ'!M:M,$J605)))</f>
      </c>
      <c r="J605" t="str">
        <f>IFERROR(MATCH(597,'Прайс и заказ'!$N$7:$N$623,0)+6,0)</f>
      </c>
      <c r="L605" t="str">
        <f>IF($J605=0,"",IF(INDEX('Прайс и заказ'!Q:Q,$J605)="","",INDEX('Прайс и заказ'!Q:Q,$J605)))</f>
      </c>
    </row>
    <row r="606" spans="1:12" customHeight="1" ht="40">
      <c r="A606" s="13" t="str">
        <f>IF($J606=0,"",IFERROR(_xlfn.IMAGE(INDEX('Прайс и заказ'!$O:$O,$J606)),""))</f>
      </c>
      <c r="B606" s="61" t="str">
        <f>IF($J606=0,"",IF(INDEX('Прайс и заказ'!B:B,$J606)="","",INDEX('Прайс и заказ'!B:B,$J606)))</f>
      </c>
      <c r="C606" s="64" t="str">
        <f>IF($J606=0,"",IF(INDEX('Прайс и заказ'!C:C,$J606)="","",INDEX('Прайс и заказ'!C:C,$J606)))</f>
      </c>
      <c r="D606" s="64" t="str">
        <f>IF($J606=0,"",IF(INDEX('Прайс и заказ'!D:D,$J606)="","",INDEX('Прайс и заказ'!D:D,$J606)))</f>
      </c>
      <c r="E606" s="61" t="str">
        <f>IF($J606=0,"",IF(INDEX('Прайс и заказ'!F:F,$J606)="","",INDEX('Прайс и заказ'!F:F,$J606)))</f>
      </c>
      <c r="F606" s="62" t="str">
        <f>IF($J606=0,"",IF(INDEX('Прайс и заказ'!I:I,$J606)="","",INDEX('Прайс и заказ'!I:I,$J606)))</f>
      </c>
      <c r="G606" s="63" t="str">
        <f>IF($J606=0,"",IF(INDEX('Прайс и заказ'!K:K,$J606)="","",INDEX('Прайс и заказ'!K:K,$J606)))</f>
      </c>
      <c r="H606" s="62" t="str">
        <f>IF($J606=0,"",IF(INDEX('Прайс и заказ'!L:L,$J606)="","",INDEX('Прайс и заказ'!L:L,$J606)))</f>
      </c>
      <c r="I606" s="13" t="str">
        <f>IF($J606=0,"",IF(INDEX('Прайс и заказ'!M:M,$J606)="","",INDEX('Прайс и заказ'!M:M,$J606)))</f>
      </c>
      <c r="J606" t="str">
        <f>IFERROR(MATCH(598,'Прайс и заказ'!$N$7:$N$623,0)+6,0)</f>
      </c>
      <c r="L606" t="str">
        <f>IF($J606=0,"",IF(INDEX('Прайс и заказ'!Q:Q,$J606)="","",INDEX('Прайс и заказ'!Q:Q,$J606)))</f>
      </c>
    </row>
    <row r="607" spans="1:12" customHeight="1" ht="40">
      <c r="A607" s="13" t="str">
        <f>IF($J607=0,"",IFERROR(_xlfn.IMAGE(INDEX('Прайс и заказ'!$O:$O,$J607)),""))</f>
      </c>
      <c r="B607" s="61" t="str">
        <f>IF($J607=0,"",IF(INDEX('Прайс и заказ'!B:B,$J607)="","",INDEX('Прайс и заказ'!B:B,$J607)))</f>
      </c>
      <c r="C607" s="64" t="str">
        <f>IF($J607=0,"",IF(INDEX('Прайс и заказ'!C:C,$J607)="","",INDEX('Прайс и заказ'!C:C,$J607)))</f>
      </c>
      <c r="D607" s="64" t="str">
        <f>IF($J607=0,"",IF(INDEX('Прайс и заказ'!D:D,$J607)="","",INDEX('Прайс и заказ'!D:D,$J607)))</f>
      </c>
      <c r="E607" s="61" t="str">
        <f>IF($J607=0,"",IF(INDEX('Прайс и заказ'!F:F,$J607)="","",INDEX('Прайс и заказ'!F:F,$J607)))</f>
      </c>
      <c r="F607" s="62" t="str">
        <f>IF($J607=0,"",IF(INDEX('Прайс и заказ'!I:I,$J607)="","",INDEX('Прайс и заказ'!I:I,$J607)))</f>
      </c>
      <c r="G607" s="63" t="str">
        <f>IF($J607=0,"",IF(INDEX('Прайс и заказ'!K:K,$J607)="","",INDEX('Прайс и заказ'!K:K,$J607)))</f>
      </c>
      <c r="H607" s="62" t="str">
        <f>IF($J607=0,"",IF(INDEX('Прайс и заказ'!L:L,$J607)="","",INDEX('Прайс и заказ'!L:L,$J607)))</f>
      </c>
      <c r="I607" s="13" t="str">
        <f>IF($J607=0,"",IF(INDEX('Прайс и заказ'!M:M,$J607)="","",INDEX('Прайс и заказ'!M:M,$J607)))</f>
      </c>
      <c r="J607" t="str">
        <f>IFERROR(MATCH(599,'Прайс и заказ'!$N$7:$N$623,0)+6,0)</f>
      </c>
      <c r="L607" t="str">
        <f>IF($J607=0,"",IF(INDEX('Прайс и заказ'!Q:Q,$J607)="","",INDEX('Прайс и заказ'!Q:Q,$J607)))</f>
      </c>
    </row>
    <row r="608" spans="1:12" customHeight="1" ht="40">
      <c r="A608" s="13" t="str">
        <f>IF($J608=0,"",IFERROR(_xlfn.IMAGE(INDEX('Прайс и заказ'!$O:$O,$J608)),""))</f>
      </c>
      <c r="B608" s="61" t="str">
        <f>IF($J608=0,"",IF(INDEX('Прайс и заказ'!B:B,$J608)="","",INDEX('Прайс и заказ'!B:B,$J608)))</f>
      </c>
      <c r="C608" s="64" t="str">
        <f>IF($J608=0,"",IF(INDEX('Прайс и заказ'!C:C,$J608)="","",INDEX('Прайс и заказ'!C:C,$J608)))</f>
      </c>
      <c r="D608" s="64" t="str">
        <f>IF($J608=0,"",IF(INDEX('Прайс и заказ'!D:D,$J608)="","",INDEX('Прайс и заказ'!D:D,$J608)))</f>
      </c>
      <c r="E608" s="61" t="str">
        <f>IF($J608=0,"",IF(INDEX('Прайс и заказ'!F:F,$J608)="","",INDEX('Прайс и заказ'!F:F,$J608)))</f>
      </c>
      <c r="F608" s="62" t="str">
        <f>IF($J608=0,"",IF(INDEX('Прайс и заказ'!I:I,$J608)="","",INDEX('Прайс и заказ'!I:I,$J608)))</f>
      </c>
      <c r="G608" s="63" t="str">
        <f>IF($J608=0,"",IF(INDEX('Прайс и заказ'!K:K,$J608)="","",INDEX('Прайс и заказ'!K:K,$J608)))</f>
      </c>
      <c r="H608" s="62" t="str">
        <f>IF($J608=0,"",IF(INDEX('Прайс и заказ'!L:L,$J608)="","",INDEX('Прайс и заказ'!L:L,$J608)))</f>
      </c>
      <c r="I608" s="13" t="str">
        <f>IF($J608=0,"",IF(INDEX('Прайс и заказ'!M:M,$J608)="","",INDEX('Прайс и заказ'!M:M,$J608)))</f>
      </c>
      <c r="J608" t="str">
        <f>IFERROR(MATCH(600,'Прайс и заказ'!$N$7:$N$623,0)+6,0)</f>
      </c>
      <c r="L608" t="str">
        <f>IF($J608=0,"",IF(INDEX('Прайс и заказ'!Q:Q,$J608)="","",INDEX('Прайс и заказ'!Q:Q,$J608)))</f>
      </c>
    </row>
    <row r="609" spans="1:12" customHeight="1" ht="40">
      <c r="A609" s="13" t="str">
        <f>IF($J609=0,"",IFERROR(_xlfn.IMAGE(INDEX('Прайс и заказ'!$O:$O,$J609)),""))</f>
      </c>
      <c r="B609" s="61" t="str">
        <f>IF($J609=0,"",IF(INDEX('Прайс и заказ'!B:B,$J609)="","",INDEX('Прайс и заказ'!B:B,$J609)))</f>
      </c>
      <c r="C609" s="64" t="str">
        <f>IF($J609=0,"",IF(INDEX('Прайс и заказ'!C:C,$J609)="","",INDEX('Прайс и заказ'!C:C,$J609)))</f>
      </c>
      <c r="D609" s="64" t="str">
        <f>IF($J609=0,"",IF(INDEX('Прайс и заказ'!D:D,$J609)="","",INDEX('Прайс и заказ'!D:D,$J609)))</f>
      </c>
      <c r="E609" s="61" t="str">
        <f>IF($J609=0,"",IF(INDEX('Прайс и заказ'!F:F,$J609)="","",INDEX('Прайс и заказ'!F:F,$J609)))</f>
      </c>
      <c r="F609" s="62" t="str">
        <f>IF($J609=0,"",IF(INDEX('Прайс и заказ'!I:I,$J609)="","",INDEX('Прайс и заказ'!I:I,$J609)))</f>
      </c>
      <c r="G609" s="63" t="str">
        <f>IF($J609=0,"",IF(INDEX('Прайс и заказ'!K:K,$J609)="","",INDEX('Прайс и заказ'!K:K,$J609)))</f>
      </c>
      <c r="H609" s="62" t="str">
        <f>IF($J609=0,"",IF(INDEX('Прайс и заказ'!L:L,$J609)="","",INDEX('Прайс и заказ'!L:L,$J609)))</f>
      </c>
      <c r="I609" s="13" t="str">
        <f>IF($J609=0,"",IF(INDEX('Прайс и заказ'!M:M,$J609)="","",INDEX('Прайс и заказ'!M:M,$J609)))</f>
      </c>
      <c r="J609" t="str">
        <f>IFERROR(MATCH(601,'Прайс и заказ'!$N$7:$N$623,0)+6,0)</f>
      </c>
      <c r="L609" t="str">
        <f>IF($J609=0,"",IF(INDEX('Прайс и заказ'!Q:Q,$J609)="","",INDEX('Прайс и заказ'!Q:Q,$J609)))</f>
      </c>
    </row>
    <row r="610" spans="1:12" customHeight="1" ht="40">
      <c r="A610" s="13" t="str">
        <f>IF($J610=0,"",IFERROR(_xlfn.IMAGE(INDEX('Прайс и заказ'!$O:$O,$J610)),""))</f>
      </c>
      <c r="B610" s="61" t="str">
        <f>IF($J610=0,"",IF(INDEX('Прайс и заказ'!B:B,$J610)="","",INDEX('Прайс и заказ'!B:B,$J610)))</f>
      </c>
      <c r="C610" s="64" t="str">
        <f>IF($J610=0,"",IF(INDEX('Прайс и заказ'!C:C,$J610)="","",INDEX('Прайс и заказ'!C:C,$J610)))</f>
      </c>
      <c r="D610" s="64" t="str">
        <f>IF($J610=0,"",IF(INDEX('Прайс и заказ'!D:D,$J610)="","",INDEX('Прайс и заказ'!D:D,$J610)))</f>
      </c>
      <c r="E610" s="61" t="str">
        <f>IF($J610=0,"",IF(INDEX('Прайс и заказ'!F:F,$J610)="","",INDEX('Прайс и заказ'!F:F,$J610)))</f>
      </c>
      <c r="F610" s="62" t="str">
        <f>IF($J610=0,"",IF(INDEX('Прайс и заказ'!I:I,$J610)="","",INDEX('Прайс и заказ'!I:I,$J610)))</f>
      </c>
      <c r="G610" s="63" t="str">
        <f>IF($J610=0,"",IF(INDEX('Прайс и заказ'!K:K,$J610)="","",INDEX('Прайс и заказ'!K:K,$J610)))</f>
      </c>
      <c r="H610" s="62" t="str">
        <f>IF($J610=0,"",IF(INDEX('Прайс и заказ'!L:L,$J610)="","",INDEX('Прайс и заказ'!L:L,$J610)))</f>
      </c>
      <c r="I610" s="13" t="str">
        <f>IF($J610=0,"",IF(INDEX('Прайс и заказ'!M:M,$J610)="","",INDEX('Прайс и заказ'!M:M,$J610)))</f>
      </c>
      <c r="J610" t="str">
        <f>IFERROR(MATCH(602,'Прайс и заказ'!$N$7:$N$623,0)+6,0)</f>
      </c>
      <c r="L610" t="str">
        <f>IF($J610=0,"",IF(INDEX('Прайс и заказ'!Q:Q,$J610)="","",INDEX('Прайс и заказ'!Q:Q,$J610)))</f>
      </c>
    </row>
    <row r="611" spans="1:12" customHeight="1" ht="40">
      <c r="A611" s="13" t="str">
        <f>IF($J611=0,"",IFERROR(_xlfn.IMAGE(INDEX('Прайс и заказ'!$O:$O,$J611)),""))</f>
      </c>
      <c r="B611" s="61" t="str">
        <f>IF($J611=0,"",IF(INDEX('Прайс и заказ'!B:B,$J611)="","",INDEX('Прайс и заказ'!B:B,$J611)))</f>
      </c>
      <c r="C611" s="64" t="str">
        <f>IF($J611=0,"",IF(INDEX('Прайс и заказ'!C:C,$J611)="","",INDEX('Прайс и заказ'!C:C,$J611)))</f>
      </c>
      <c r="D611" s="64" t="str">
        <f>IF($J611=0,"",IF(INDEX('Прайс и заказ'!D:D,$J611)="","",INDEX('Прайс и заказ'!D:D,$J611)))</f>
      </c>
      <c r="E611" s="61" t="str">
        <f>IF($J611=0,"",IF(INDEX('Прайс и заказ'!F:F,$J611)="","",INDEX('Прайс и заказ'!F:F,$J611)))</f>
      </c>
      <c r="F611" s="62" t="str">
        <f>IF($J611=0,"",IF(INDEX('Прайс и заказ'!I:I,$J611)="","",INDEX('Прайс и заказ'!I:I,$J611)))</f>
      </c>
      <c r="G611" s="63" t="str">
        <f>IF($J611=0,"",IF(INDEX('Прайс и заказ'!K:K,$J611)="","",INDEX('Прайс и заказ'!K:K,$J611)))</f>
      </c>
      <c r="H611" s="62" t="str">
        <f>IF($J611=0,"",IF(INDEX('Прайс и заказ'!L:L,$J611)="","",INDEX('Прайс и заказ'!L:L,$J611)))</f>
      </c>
      <c r="I611" s="13" t="str">
        <f>IF($J611=0,"",IF(INDEX('Прайс и заказ'!M:M,$J611)="","",INDEX('Прайс и заказ'!M:M,$J611)))</f>
      </c>
      <c r="J611" t="str">
        <f>IFERROR(MATCH(603,'Прайс и заказ'!$N$7:$N$623,0)+6,0)</f>
      </c>
      <c r="L611" t="str">
        <f>IF($J611=0,"",IF(INDEX('Прайс и заказ'!Q:Q,$J611)="","",INDEX('Прайс и заказ'!Q:Q,$J611)))</f>
      </c>
    </row>
    <row r="612" spans="1:12" customHeight="1" ht="40">
      <c r="A612" s="13" t="str">
        <f>IF($J612=0,"",IFERROR(_xlfn.IMAGE(INDEX('Прайс и заказ'!$O:$O,$J612)),""))</f>
      </c>
      <c r="B612" s="61" t="str">
        <f>IF($J612=0,"",IF(INDEX('Прайс и заказ'!B:B,$J612)="","",INDEX('Прайс и заказ'!B:B,$J612)))</f>
      </c>
      <c r="C612" s="64" t="str">
        <f>IF($J612=0,"",IF(INDEX('Прайс и заказ'!C:C,$J612)="","",INDEX('Прайс и заказ'!C:C,$J612)))</f>
      </c>
      <c r="D612" s="64" t="str">
        <f>IF($J612=0,"",IF(INDEX('Прайс и заказ'!D:D,$J612)="","",INDEX('Прайс и заказ'!D:D,$J612)))</f>
      </c>
      <c r="E612" s="61" t="str">
        <f>IF($J612=0,"",IF(INDEX('Прайс и заказ'!F:F,$J612)="","",INDEX('Прайс и заказ'!F:F,$J612)))</f>
      </c>
      <c r="F612" s="62" t="str">
        <f>IF($J612=0,"",IF(INDEX('Прайс и заказ'!I:I,$J612)="","",INDEX('Прайс и заказ'!I:I,$J612)))</f>
      </c>
      <c r="G612" s="63" t="str">
        <f>IF($J612=0,"",IF(INDEX('Прайс и заказ'!K:K,$J612)="","",INDEX('Прайс и заказ'!K:K,$J612)))</f>
      </c>
      <c r="H612" s="62" t="str">
        <f>IF($J612=0,"",IF(INDEX('Прайс и заказ'!L:L,$J612)="","",INDEX('Прайс и заказ'!L:L,$J612)))</f>
      </c>
      <c r="I612" s="13" t="str">
        <f>IF($J612=0,"",IF(INDEX('Прайс и заказ'!M:M,$J612)="","",INDEX('Прайс и заказ'!M:M,$J612)))</f>
      </c>
      <c r="J612" t="str">
        <f>IFERROR(MATCH(604,'Прайс и заказ'!$N$7:$N$623,0)+6,0)</f>
      </c>
      <c r="L612" t="str">
        <f>IF($J612=0,"",IF(INDEX('Прайс и заказ'!Q:Q,$J612)="","",INDEX('Прайс и заказ'!Q:Q,$J612)))</f>
      </c>
    </row>
    <row r="613" spans="1:12" customHeight="1" ht="40">
      <c r="A613" s="13" t="str">
        <f>IF($J613=0,"",IFERROR(_xlfn.IMAGE(INDEX('Прайс и заказ'!$O:$O,$J613)),""))</f>
      </c>
      <c r="B613" s="61" t="str">
        <f>IF($J613=0,"",IF(INDEX('Прайс и заказ'!B:B,$J613)="","",INDEX('Прайс и заказ'!B:B,$J613)))</f>
      </c>
      <c r="C613" s="64" t="str">
        <f>IF($J613=0,"",IF(INDEX('Прайс и заказ'!C:C,$J613)="","",INDEX('Прайс и заказ'!C:C,$J613)))</f>
      </c>
      <c r="D613" s="64" t="str">
        <f>IF($J613=0,"",IF(INDEX('Прайс и заказ'!D:D,$J613)="","",INDEX('Прайс и заказ'!D:D,$J613)))</f>
      </c>
      <c r="E613" s="61" t="str">
        <f>IF($J613=0,"",IF(INDEX('Прайс и заказ'!F:F,$J613)="","",INDEX('Прайс и заказ'!F:F,$J613)))</f>
      </c>
      <c r="F613" s="62" t="str">
        <f>IF($J613=0,"",IF(INDEX('Прайс и заказ'!I:I,$J613)="","",INDEX('Прайс и заказ'!I:I,$J613)))</f>
      </c>
      <c r="G613" s="63" t="str">
        <f>IF($J613=0,"",IF(INDEX('Прайс и заказ'!K:K,$J613)="","",INDEX('Прайс и заказ'!K:K,$J613)))</f>
      </c>
      <c r="H613" s="62" t="str">
        <f>IF($J613=0,"",IF(INDEX('Прайс и заказ'!L:L,$J613)="","",INDEX('Прайс и заказ'!L:L,$J613)))</f>
      </c>
      <c r="I613" s="13" t="str">
        <f>IF($J613=0,"",IF(INDEX('Прайс и заказ'!M:M,$J613)="","",INDEX('Прайс и заказ'!M:M,$J613)))</f>
      </c>
      <c r="J613" t="str">
        <f>IFERROR(MATCH(605,'Прайс и заказ'!$N$7:$N$623,0)+6,0)</f>
      </c>
      <c r="L613" t="str">
        <f>IF($J613=0,"",IF(INDEX('Прайс и заказ'!Q:Q,$J613)="","",INDEX('Прайс и заказ'!Q:Q,$J613)))</f>
      </c>
    </row>
    <row r="614" spans="1:12" customHeight="1" ht="40">
      <c r="A614" s="13" t="str">
        <f>IF($J614=0,"",IFERROR(_xlfn.IMAGE(INDEX('Прайс и заказ'!$O:$O,$J614)),""))</f>
      </c>
      <c r="B614" s="61" t="str">
        <f>IF($J614=0,"",IF(INDEX('Прайс и заказ'!B:B,$J614)="","",INDEX('Прайс и заказ'!B:B,$J614)))</f>
      </c>
      <c r="C614" s="64" t="str">
        <f>IF($J614=0,"",IF(INDEX('Прайс и заказ'!C:C,$J614)="","",INDEX('Прайс и заказ'!C:C,$J614)))</f>
      </c>
      <c r="D614" s="64" t="str">
        <f>IF($J614=0,"",IF(INDEX('Прайс и заказ'!D:D,$J614)="","",INDEX('Прайс и заказ'!D:D,$J614)))</f>
      </c>
      <c r="E614" s="61" t="str">
        <f>IF($J614=0,"",IF(INDEX('Прайс и заказ'!F:F,$J614)="","",INDEX('Прайс и заказ'!F:F,$J614)))</f>
      </c>
      <c r="F614" s="62" t="str">
        <f>IF($J614=0,"",IF(INDEX('Прайс и заказ'!I:I,$J614)="","",INDEX('Прайс и заказ'!I:I,$J614)))</f>
      </c>
      <c r="G614" s="63" t="str">
        <f>IF($J614=0,"",IF(INDEX('Прайс и заказ'!K:K,$J614)="","",INDEX('Прайс и заказ'!K:K,$J614)))</f>
      </c>
      <c r="H614" s="62" t="str">
        <f>IF($J614=0,"",IF(INDEX('Прайс и заказ'!L:L,$J614)="","",INDEX('Прайс и заказ'!L:L,$J614)))</f>
      </c>
      <c r="I614" s="13" t="str">
        <f>IF($J614=0,"",IF(INDEX('Прайс и заказ'!M:M,$J614)="","",INDEX('Прайс и заказ'!M:M,$J614)))</f>
      </c>
      <c r="J614" t="str">
        <f>IFERROR(MATCH(606,'Прайс и заказ'!$N$7:$N$623,0)+6,0)</f>
      </c>
      <c r="L614" t="str">
        <f>IF($J614=0,"",IF(INDEX('Прайс и заказ'!Q:Q,$J614)="","",INDEX('Прайс и заказ'!Q:Q,$J614)))</f>
      </c>
    </row>
    <row r="615" spans="1:12" customHeight="1" ht="40">
      <c r="A615" s="13" t="str">
        <f>IF($J615=0,"",IFERROR(_xlfn.IMAGE(INDEX('Прайс и заказ'!$O:$O,$J615)),""))</f>
      </c>
      <c r="B615" s="61" t="str">
        <f>IF($J615=0,"",IF(INDEX('Прайс и заказ'!B:B,$J615)="","",INDEX('Прайс и заказ'!B:B,$J615)))</f>
      </c>
      <c r="C615" s="64" t="str">
        <f>IF($J615=0,"",IF(INDEX('Прайс и заказ'!C:C,$J615)="","",INDEX('Прайс и заказ'!C:C,$J615)))</f>
      </c>
      <c r="D615" s="64" t="str">
        <f>IF($J615=0,"",IF(INDEX('Прайс и заказ'!D:D,$J615)="","",INDEX('Прайс и заказ'!D:D,$J615)))</f>
      </c>
      <c r="E615" s="61" t="str">
        <f>IF($J615=0,"",IF(INDEX('Прайс и заказ'!F:F,$J615)="","",INDEX('Прайс и заказ'!F:F,$J615)))</f>
      </c>
      <c r="F615" s="62" t="str">
        <f>IF($J615=0,"",IF(INDEX('Прайс и заказ'!I:I,$J615)="","",INDEX('Прайс и заказ'!I:I,$J615)))</f>
      </c>
      <c r="G615" s="63" t="str">
        <f>IF($J615=0,"",IF(INDEX('Прайс и заказ'!K:K,$J615)="","",INDEX('Прайс и заказ'!K:K,$J615)))</f>
      </c>
      <c r="H615" s="62" t="str">
        <f>IF($J615=0,"",IF(INDEX('Прайс и заказ'!L:L,$J615)="","",INDEX('Прайс и заказ'!L:L,$J615)))</f>
      </c>
      <c r="I615" s="13" t="str">
        <f>IF($J615=0,"",IF(INDEX('Прайс и заказ'!M:M,$J615)="","",INDEX('Прайс и заказ'!M:M,$J615)))</f>
      </c>
      <c r="J615" t="str">
        <f>IFERROR(MATCH(607,'Прайс и заказ'!$N$7:$N$623,0)+6,0)</f>
      </c>
      <c r="L615" t="str">
        <f>IF($J615=0,"",IF(INDEX('Прайс и заказ'!Q:Q,$J615)="","",INDEX('Прайс и заказ'!Q:Q,$J615)))</f>
      </c>
    </row>
    <row r="616" spans="1:12" customHeight="1" ht="40">
      <c r="A616" s="13" t="str">
        <f>IF($J616=0,"",IFERROR(_xlfn.IMAGE(INDEX('Прайс и заказ'!$O:$O,$J616)),""))</f>
      </c>
      <c r="B616" s="61" t="str">
        <f>IF($J616=0,"",IF(INDEX('Прайс и заказ'!B:B,$J616)="","",INDEX('Прайс и заказ'!B:B,$J616)))</f>
      </c>
      <c r="C616" s="64" t="str">
        <f>IF($J616=0,"",IF(INDEX('Прайс и заказ'!C:C,$J616)="","",INDEX('Прайс и заказ'!C:C,$J616)))</f>
      </c>
      <c r="D616" s="64" t="str">
        <f>IF($J616=0,"",IF(INDEX('Прайс и заказ'!D:D,$J616)="","",INDEX('Прайс и заказ'!D:D,$J616)))</f>
      </c>
      <c r="E616" s="61" t="str">
        <f>IF($J616=0,"",IF(INDEX('Прайс и заказ'!F:F,$J616)="","",INDEX('Прайс и заказ'!F:F,$J616)))</f>
      </c>
      <c r="F616" s="62" t="str">
        <f>IF($J616=0,"",IF(INDEX('Прайс и заказ'!I:I,$J616)="","",INDEX('Прайс и заказ'!I:I,$J616)))</f>
      </c>
      <c r="G616" s="63" t="str">
        <f>IF($J616=0,"",IF(INDEX('Прайс и заказ'!K:K,$J616)="","",INDEX('Прайс и заказ'!K:K,$J616)))</f>
      </c>
      <c r="H616" s="62" t="str">
        <f>IF($J616=0,"",IF(INDEX('Прайс и заказ'!L:L,$J616)="","",INDEX('Прайс и заказ'!L:L,$J616)))</f>
      </c>
      <c r="I616" s="13" t="str">
        <f>IF($J616=0,"",IF(INDEX('Прайс и заказ'!M:M,$J616)="","",INDEX('Прайс и заказ'!M:M,$J616)))</f>
      </c>
      <c r="J616" t="str">
        <f>IFERROR(MATCH(608,'Прайс и заказ'!$N$7:$N$623,0)+6,0)</f>
      </c>
      <c r="L616" t="str">
        <f>IF($J616=0,"",IF(INDEX('Прайс и заказ'!Q:Q,$J616)="","",INDEX('Прайс и заказ'!Q:Q,$J616)))</f>
      </c>
    </row>
    <row r="617" spans="1:12" customHeight="1" ht="40">
      <c r="A617" s="13" t="str">
        <f>IF($J617=0,"",IFERROR(_xlfn.IMAGE(INDEX('Прайс и заказ'!$O:$O,$J617)),""))</f>
      </c>
      <c r="B617" s="61" t="str">
        <f>IF($J617=0,"",IF(INDEX('Прайс и заказ'!B:B,$J617)="","",INDEX('Прайс и заказ'!B:B,$J617)))</f>
      </c>
      <c r="C617" s="64" t="str">
        <f>IF($J617=0,"",IF(INDEX('Прайс и заказ'!C:C,$J617)="","",INDEX('Прайс и заказ'!C:C,$J617)))</f>
      </c>
      <c r="D617" s="64" t="str">
        <f>IF($J617=0,"",IF(INDEX('Прайс и заказ'!D:D,$J617)="","",INDEX('Прайс и заказ'!D:D,$J617)))</f>
      </c>
      <c r="E617" s="61" t="str">
        <f>IF($J617=0,"",IF(INDEX('Прайс и заказ'!F:F,$J617)="","",INDEX('Прайс и заказ'!F:F,$J617)))</f>
      </c>
      <c r="F617" s="62" t="str">
        <f>IF($J617=0,"",IF(INDEX('Прайс и заказ'!I:I,$J617)="","",INDEX('Прайс и заказ'!I:I,$J617)))</f>
      </c>
      <c r="G617" s="63" t="str">
        <f>IF($J617=0,"",IF(INDEX('Прайс и заказ'!K:K,$J617)="","",INDEX('Прайс и заказ'!K:K,$J617)))</f>
      </c>
      <c r="H617" s="62" t="str">
        <f>IF($J617=0,"",IF(INDEX('Прайс и заказ'!L:L,$J617)="","",INDEX('Прайс и заказ'!L:L,$J617)))</f>
      </c>
      <c r="I617" s="13" t="str">
        <f>IF($J617=0,"",IF(INDEX('Прайс и заказ'!M:M,$J617)="","",INDEX('Прайс и заказ'!M:M,$J617)))</f>
      </c>
      <c r="J617" t="str">
        <f>IFERROR(MATCH(609,'Прайс и заказ'!$N$7:$N$623,0)+6,0)</f>
      </c>
      <c r="L617" t="str">
        <f>IF($J617=0,"",IF(INDEX('Прайс и заказ'!Q:Q,$J617)="","",INDEX('Прайс и заказ'!Q:Q,$J617)))</f>
      </c>
    </row>
    <row r="618" spans="1:12" customHeight="1" ht="40">
      <c r="A618" s="13" t="str">
        <f>IF($J618=0,"",IFERROR(_xlfn.IMAGE(INDEX('Прайс и заказ'!$O:$O,$J618)),""))</f>
      </c>
      <c r="B618" s="61" t="str">
        <f>IF($J618=0,"",IF(INDEX('Прайс и заказ'!B:B,$J618)="","",INDEX('Прайс и заказ'!B:B,$J618)))</f>
      </c>
      <c r="C618" s="64" t="str">
        <f>IF($J618=0,"",IF(INDEX('Прайс и заказ'!C:C,$J618)="","",INDEX('Прайс и заказ'!C:C,$J618)))</f>
      </c>
      <c r="D618" s="64" t="str">
        <f>IF($J618=0,"",IF(INDEX('Прайс и заказ'!D:D,$J618)="","",INDEX('Прайс и заказ'!D:D,$J618)))</f>
      </c>
      <c r="E618" s="61" t="str">
        <f>IF($J618=0,"",IF(INDEX('Прайс и заказ'!F:F,$J618)="","",INDEX('Прайс и заказ'!F:F,$J618)))</f>
      </c>
      <c r="F618" s="62" t="str">
        <f>IF($J618=0,"",IF(INDEX('Прайс и заказ'!I:I,$J618)="","",INDEX('Прайс и заказ'!I:I,$J618)))</f>
      </c>
      <c r="G618" s="63" t="str">
        <f>IF($J618=0,"",IF(INDEX('Прайс и заказ'!K:K,$J618)="","",INDEX('Прайс и заказ'!K:K,$J618)))</f>
      </c>
      <c r="H618" s="62" t="str">
        <f>IF($J618=0,"",IF(INDEX('Прайс и заказ'!L:L,$J618)="","",INDEX('Прайс и заказ'!L:L,$J618)))</f>
      </c>
      <c r="I618" s="13" t="str">
        <f>IF($J618=0,"",IF(INDEX('Прайс и заказ'!M:M,$J618)="","",INDEX('Прайс и заказ'!M:M,$J618)))</f>
      </c>
      <c r="J618" t="str">
        <f>IFERROR(MATCH(610,'Прайс и заказ'!$N$7:$N$623,0)+6,0)</f>
      </c>
      <c r="L618" t="str">
        <f>IF($J618=0,"",IF(INDEX('Прайс и заказ'!Q:Q,$J618)="","",INDEX('Прайс и заказ'!Q:Q,$J618)))</f>
      </c>
    </row>
    <row r="619" spans="1:12" customHeight="1" ht="40">
      <c r="A619" s="13" t="str">
        <f>IF($J619=0,"",IFERROR(_xlfn.IMAGE(INDEX('Прайс и заказ'!$O:$O,$J619)),""))</f>
      </c>
      <c r="B619" s="61" t="str">
        <f>IF($J619=0,"",IF(INDEX('Прайс и заказ'!B:B,$J619)="","",INDEX('Прайс и заказ'!B:B,$J619)))</f>
      </c>
      <c r="C619" s="64" t="str">
        <f>IF($J619=0,"",IF(INDEX('Прайс и заказ'!C:C,$J619)="","",INDEX('Прайс и заказ'!C:C,$J619)))</f>
      </c>
      <c r="D619" s="64" t="str">
        <f>IF($J619=0,"",IF(INDEX('Прайс и заказ'!D:D,$J619)="","",INDEX('Прайс и заказ'!D:D,$J619)))</f>
      </c>
      <c r="E619" s="61" t="str">
        <f>IF($J619=0,"",IF(INDEX('Прайс и заказ'!F:F,$J619)="","",INDEX('Прайс и заказ'!F:F,$J619)))</f>
      </c>
      <c r="F619" s="62" t="str">
        <f>IF($J619=0,"",IF(INDEX('Прайс и заказ'!I:I,$J619)="","",INDEX('Прайс и заказ'!I:I,$J619)))</f>
      </c>
      <c r="G619" s="63" t="str">
        <f>IF($J619=0,"",IF(INDEX('Прайс и заказ'!K:K,$J619)="","",INDEX('Прайс и заказ'!K:K,$J619)))</f>
      </c>
      <c r="H619" s="62" t="str">
        <f>IF($J619=0,"",IF(INDEX('Прайс и заказ'!L:L,$J619)="","",INDEX('Прайс и заказ'!L:L,$J619)))</f>
      </c>
      <c r="I619" s="13" t="str">
        <f>IF($J619=0,"",IF(INDEX('Прайс и заказ'!M:M,$J619)="","",INDEX('Прайс и заказ'!M:M,$J619)))</f>
      </c>
      <c r="J619" t="str">
        <f>IFERROR(MATCH(611,'Прайс и заказ'!$N$7:$N$623,0)+6,0)</f>
      </c>
      <c r="L619" t="str">
        <f>IF($J619=0,"",IF(INDEX('Прайс и заказ'!Q:Q,$J619)="","",INDEX('Прайс и заказ'!Q:Q,$J619)))</f>
      </c>
    </row>
    <row r="620" spans="1:12" customHeight="1" ht="40">
      <c r="A620" s="13" t="str">
        <f>IF($J620=0,"",IFERROR(_xlfn.IMAGE(INDEX('Прайс и заказ'!$O:$O,$J620)),""))</f>
      </c>
      <c r="B620" s="61" t="str">
        <f>IF($J620=0,"",IF(INDEX('Прайс и заказ'!B:B,$J620)="","",INDEX('Прайс и заказ'!B:B,$J620)))</f>
      </c>
      <c r="C620" s="64" t="str">
        <f>IF($J620=0,"",IF(INDEX('Прайс и заказ'!C:C,$J620)="","",INDEX('Прайс и заказ'!C:C,$J620)))</f>
      </c>
      <c r="D620" s="64" t="str">
        <f>IF($J620=0,"",IF(INDEX('Прайс и заказ'!D:D,$J620)="","",INDEX('Прайс и заказ'!D:D,$J620)))</f>
      </c>
      <c r="E620" s="61" t="str">
        <f>IF($J620=0,"",IF(INDEX('Прайс и заказ'!F:F,$J620)="","",INDEX('Прайс и заказ'!F:F,$J620)))</f>
      </c>
      <c r="F620" s="62" t="str">
        <f>IF($J620=0,"",IF(INDEX('Прайс и заказ'!I:I,$J620)="","",INDEX('Прайс и заказ'!I:I,$J620)))</f>
      </c>
      <c r="G620" s="63" t="str">
        <f>IF($J620=0,"",IF(INDEX('Прайс и заказ'!K:K,$J620)="","",INDEX('Прайс и заказ'!K:K,$J620)))</f>
      </c>
      <c r="H620" s="62" t="str">
        <f>IF($J620=0,"",IF(INDEX('Прайс и заказ'!L:L,$J620)="","",INDEX('Прайс и заказ'!L:L,$J620)))</f>
      </c>
      <c r="I620" s="13" t="str">
        <f>IF($J620=0,"",IF(INDEX('Прайс и заказ'!M:M,$J620)="","",INDEX('Прайс и заказ'!M:M,$J620)))</f>
      </c>
      <c r="J620" t="str">
        <f>IFERROR(MATCH(612,'Прайс и заказ'!$N$7:$N$623,0)+6,0)</f>
      </c>
      <c r="L620" t="str">
        <f>IF($J620=0,"",IF(INDEX('Прайс и заказ'!Q:Q,$J620)="","",INDEX('Прайс и заказ'!Q:Q,$J620)))</f>
      </c>
    </row>
    <row r="621" spans="1:12" customHeight="1" ht="40">
      <c r="A621" s="13" t="str">
        <f>IF($J621=0,"",IFERROR(_xlfn.IMAGE(INDEX('Прайс и заказ'!$O:$O,$J621)),""))</f>
      </c>
      <c r="B621" s="61" t="str">
        <f>IF($J621=0,"",IF(INDEX('Прайс и заказ'!B:B,$J621)="","",INDEX('Прайс и заказ'!B:B,$J621)))</f>
      </c>
      <c r="C621" s="64" t="str">
        <f>IF($J621=0,"",IF(INDEX('Прайс и заказ'!C:C,$J621)="","",INDEX('Прайс и заказ'!C:C,$J621)))</f>
      </c>
      <c r="D621" s="64" t="str">
        <f>IF($J621=0,"",IF(INDEX('Прайс и заказ'!D:D,$J621)="","",INDEX('Прайс и заказ'!D:D,$J621)))</f>
      </c>
      <c r="E621" s="61" t="str">
        <f>IF($J621=0,"",IF(INDEX('Прайс и заказ'!F:F,$J621)="","",INDEX('Прайс и заказ'!F:F,$J621)))</f>
      </c>
      <c r="F621" s="62" t="str">
        <f>IF($J621=0,"",IF(INDEX('Прайс и заказ'!I:I,$J621)="","",INDEX('Прайс и заказ'!I:I,$J621)))</f>
      </c>
      <c r="G621" s="63" t="str">
        <f>IF($J621=0,"",IF(INDEX('Прайс и заказ'!K:K,$J621)="","",INDEX('Прайс и заказ'!K:K,$J621)))</f>
      </c>
      <c r="H621" s="62" t="str">
        <f>IF($J621=0,"",IF(INDEX('Прайс и заказ'!L:L,$J621)="","",INDEX('Прайс и заказ'!L:L,$J621)))</f>
      </c>
      <c r="I621" s="13" t="str">
        <f>IF($J621=0,"",IF(INDEX('Прайс и заказ'!M:M,$J621)="","",INDEX('Прайс и заказ'!M:M,$J621)))</f>
      </c>
      <c r="J621" t="str">
        <f>IFERROR(MATCH(613,'Прайс и заказ'!$N$7:$N$623,0)+6,0)</f>
      </c>
      <c r="L621" t="str">
        <f>IF($J621=0,"",IF(INDEX('Прайс и заказ'!Q:Q,$J621)="","",INDEX('Прайс и заказ'!Q:Q,$J621)))</f>
      </c>
    </row>
    <row r="622" spans="1:12" customHeight="1" ht="40">
      <c r="A622" s="13" t="str">
        <f>IF($J622=0,"",IFERROR(_xlfn.IMAGE(INDEX('Прайс и заказ'!$O:$O,$J622)),""))</f>
      </c>
      <c r="B622" s="61" t="str">
        <f>IF($J622=0,"",IF(INDEX('Прайс и заказ'!B:B,$J622)="","",INDEX('Прайс и заказ'!B:B,$J622)))</f>
      </c>
      <c r="C622" s="64" t="str">
        <f>IF($J622=0,"",IF(INDEX('Прайс и заказ'!C:C,$J622)="","",INDEX('Прайс и заказ'!C:C,$J622)))</f>
      </c>
      <c r="D622" s="64" t="str">
        <f>IF($J622=0,"",IF(INDEX('Прайс и заказ'!D:D,$J622)="","",INDEX('Прайс и заказ'!D:D,$J622)))</f>
      </c>
      <c r="E622" s="61" t="str">
        <f>IF($J622=0,"",IF(INDEX('Прайс и заказ'!F:F,$J622)="","",INDEX('Прайс и заказ'!F:F,$J622)))</f>
      </c>
      <c r="F622" s="62" t="str">
        <f>IF($J622=0,"",IF(INDEX('Прайс и заказ'!I:I,$J622)="","",INDEX('Прайс и заказ'!I:I,$J622)))</f>
      </c>
      <c r="G622" s="63" t="str">
        <f>IF($J622=0,"",IF(INDEX('Прайс и заказ'!K:K,$J622)="","",INDEX('Прайс и заказ'!K:K,$J622)))</f>
      </c>
      <c r="H622" s="62" t="str">
        <f>IF($J622=0,"",IF(INDEX('Прайс и заказ'!L:L,$J622)="","",INDEX('Прайс и заказ'!L:L,$J622)))</f>
      </c>
      <c r="I622" s="13" t="str">
        <f>IF($J622=0,"",IF(INDEX('Прайс и заказ'!M:M,$J622)="","",INDEX('Прайс и заказ'!M:M,$J622)))</f>
      </c>
      <c r="J622" t="str">
        <f>IFERROR(MATCH(614,'Прайс и заказ'!$N$7:$N$623,0)+6,0)</f>
      </c>
      <c r="L622" t="str">
        <f>IF($J622=0,"",IF(INDEX('Прайс и заказ'!Q:Q,$J622)="","",INDEX('Прайс и заказ'!Q:Q,$J622)))</f>
      </c>
    </row>
    <row r="623" spans="1:12" customHeight="1" ht="40">
      <c r="A623" s="13" t="str">
        <f>IF($J623=0,"",IFERROR(_xlfn.IMAGE(INDEX('Прайс и заказ'!$O:$O,$J623)),""))</f>
      </c>
      <c r="B623" s="61" t="str">
        <f>IF($J623=0,"",IF(INDEX('Прайс и заказ'!B:B,$J623)="","",INDEX('Прайс и заказ'!B:B,$J623)))</f>
      </c>
      <c r="C623" s="64" t="str">
        <f>IF($J623=0,"",IF(INDEX('Прайс и заказ'!C:C,$J623)="","",INDEX('Прайс и заказ'!C:C,$J623)))</f>
      </c>
      <c r="D623" s="64" t="str">
        <f>IF($J623=0,"",IF(INDEX('Прайс и заказ'!D:D,$J623)="","",INDEX('Прайс и заказ'!D:D,$J623)))</f>
      </c>
      <c r="E623" s="61" t="str">
        <f>IF($J623=0,"",IF(INDEX('Прайс и заказ'!F:F,$J623)="","",INDEX('Прайс и заказ'!F:F,$J623)))</f>
      </c>
      <c r="F623" s="62" t="str">
        <f>IF($J623=0,"",IF(INDEX('Прайс и заказ'!I:I,$J623)="","",INDEX('Прайс и заказ'!I:I,$J623)))</f>
      </c>
      <c r="G623" s="63" t="str">
        <f>IF($J623=0,"",IF(INDEX('Прайс и заказ'!K:K,$J623)="","",INDEX('Прайс и заказ'!K:K,$J623)))</f>
      </c>
      <c r="H623" s="62" t="str">
        <f>IF($J623=0,"",IF(INDEX('Прайс и заказ'!L:L,$J623)="","",INDEX('Прайс и заказ'!L:L,$J623)))</f>
      </c>
      <c r="I623" s="13" t="str">
        <f>IF($J623=0,"",IF(INDEX('Прайс и заказ'!M:M,$J623)="","",INDEX('Прайс и заказ'!M:M,$J623)))</f>
      </c>
      <c r="J623" t="str">
        <f>IFERROR(MATCH(615,'Прайс и заказ'!$N$7:$N$623,0)+6,0)</f>
      </c>
      <c r="L623" t="str">
        <f>IF($J623=0,"",IF(INDEX('Прайс и заказ'!Q:Q,$J623)="","",INDEX('Прайс и заказ'!Q:Q,$J623)))</f>
      </c>
    </row>
    <row r="624" spans="1:12" customHeight="1" ht="40">
      <c r="A624" s="13" t="str">
        <f>IF($J624=0,"",IFERROR(_xlfn.IMAGE(INDEX('Прайс и заказ'!$O:$O,$J624)),""))</f>
      </c>
      <c r="B624" s="61" t="str">
        <f>IF($J624=0,"",IF(INDEX('Прайс и заказ'!B:B,$J624)="","",INDEX('Прайс и заказ'!B:B,$J624)))</f>
      </c>
      <c r="C624" s="64" t="str">
        <f>IF($J624=0,"",IF(INDEX('Прайс и заказ'!C:C,$J624)="","",INDEX('Прайс и заказ'!C:C,$J624)))</f>
      </c>
      <c r="D624" s="64" t="str">
        <f>IF($J624=0,"",IF(INDEX('Прайс и заказ'!D:D,$J624)="","",INDEX('Прайс и заказ'!D:D,$J624)))</f>
      </c>
      <c r="E624" s="61" t="str">
        <f>IF($J624=0,"",IF(INDEX('Прайс и заказ'!F:F,$J624)="","",INDEX('Прайс и заказ'!F:F,$J624)))</f>
      </c>
      <c r="F624" s="62" t="str">
        <f>IF($J624=0,"",IF(INDEX('Прайс и заказ'!I:I,$J624)="","",INDEX('Прайс и заказ'!I:I,$J624)))</f>
      </c>
      <c r="G624" s="63" t="str">
        <f>IF($J624=0,"",IF(INDEX('Прайс и заказ'!K:K,$J624)="","",INDEX('Прайс и заказ'!K:K,$J624)))</f>
      </c>
      <c r="H624" s="62" t="str">
        <f>IF($J624=0,"",IF(INDEX('Прайс и заказ'!L:L,$J624)="","",INDEX('Прайс и заказ'!L:L,$J624)))</f>
      </c>
      <c r="I624" s="13" t="str">
        <f>IF($J624=0,"",IF(INDEX('Прайс и заказ'!M:M,$J624)="","",INDEX('Прайс и заказ'!M:M,$J624)))</f>
      </c>
      <c r="J624" t="str">
        <f>IFERROR(MATCH(616,'Прайс и заказ'!$N$7:$N$623,0)+6,0)</f>
      </c>
      <c r="L624" t="str">
        <f>IF($J624=0,"",IF(INDEX('Прайс и заказ'!Q:Q,$J624)="","",INDEX('Прайс и заказ'!Q:Q,$J624)))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62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1875</v>
      </c>
    </row>
    <row r="2" spans="1:6">
      <c r="A2" t="s">
        <v>1876</v>
      </c>
    </row>
    <row r="3" spans="1:6">
      <c r="A3" t="s">
        <v>1877</v>
      </c>
    </row>
    <row r="4" spans="1:6">
      <c r="A4" t="s">
        <v>1878</v>
      </c>
    </row>
    <row r="5" spans="1:6">
      <c r="A5" t="s">
        <v>1879</v>
      </c>
      <c r="B5" t="s">
        <v>1880</v>
      </c>
      <c r="C5" t="s">
        <v>1881</v>
      </c>
      <c r="D5" t="s">
        <v>1882</v>
      </c>
    </row>
    <row r="6" spans="1:6">
      <c r="A6" t="s">
        <v>1883</v>
      </c>
      <c r="B6" t="s">
        <v>1884</v>
      </c>
      <c r="C6" t="s">
        <v>1885</v>
      </c>
      <c r="D6" t="s">
        <v>1886</v>
      </c>
      <c r="E6" t="s">
        <v>1887</v>
      </c>
      <c r="F6" t="s">
        <v>1888</v>
      </c>
    </row>
    <row r="7" spans="1:6">
      <c r="A7" t="s">
        <v>1889</v>
      </c>
      <c r="B7">
        <v>6</v>
      </c>
      <c r="C7" t="s">
        <v>1890</v>
      </c>
      <c r="D7" t="s">
        <v>1891</v>
      </c>
      <c r="E7" t="s">
        <v>1892</v>
      </c>
      <c r="F7" t="s">
        <v>1893</v>
      </c>
    </row>
    <row r="8" spans="1:6">
      <c r="A8" t="s">
        <v>1894</v>
      </c>
      <c r="B8">
        <v>8</v>
      </c>
      <c r="C8" t="s">
        <v>1895</v>
      </c>
      <c r="D8" t="s">
        <v>1896</v>
      </c>
      <c r="E8" t="s">
        <v>1897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2026-10-01T20:34:33+04:00</dcterms:created>
  <dcterms:modified xsi:type="dcterms:W3CDTF">2026-10-01T20:34:33+04:00</dcterms:modified>
  <dc:title>Прайс-лист LavrPack — Кашпо, вазоны — Пластиковые горшки</dc:title>
  <dc:description>Сформировано на www.lavrpack.ru 01.10.2026 20:34</dc:description>
  <dc:subject/>
  <cp:keywords/>
  <cp:category/>
</cp:coreProperties>
</file>