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 и заказ" sheetId="1" r:id="rId4"/>
    <sheet name="Ваш заказ" sheetId="2" r:id="rId5"/>
    <sheet name="_1С" sheetId="3" state="veryHidden" r:id="rId6"/>
  </sheets>
  <definedNames>
    <definedName name="_xlnm.Print_Titles" localSheetId="0">'Прайс и заказ'!$6:$6</definedName>
    <definedName name="_xlnm.Print_Titles" localSheetId="1">'Ваш заказ'!$8:$8</definedName>
    <definedName name="_xlnm.Print_Area" localSheetId="1">'Ваш заказ'!$A$1:$I$53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<sst xmlns="http://schemas.openxmlformats.org/spreadsheetml/2006/main" uniqueCount="376">
  <si>
    <t xml:space="preserve">   ·   Прайс-лист «Плёнка — Листы · Матовая» · 01.10.2026</t>
  </si>
  <si>
    <t>Компания</t>
  </si>
  <si>
    <t>Контактное лицо</t>
  </si>
  <si>
    <t>Телефон</t>
  </si>
  <si>
    <t>Город</t>
  </si>
  <si>
    <t>Комментарий</t>
  </si>
  <si>
    <t>Дата прайса</t>
  </si>
  <si>
    <t>01.10.2026 20:29</t>
  </si>
  <si>
    <t>Категория</t>
  </si>
  <si>
    <t>Плёнка — Листы · Матовая</t>
  </si>
  <si>
    <t>Источник</t>
  </si>
  <si>
    <t>https://www.lavrpack.ru</t>
  </si>
  <si>
    <t>Поиск по прайсу</t>
  </si>
  <si>
    <t>Заполните колонку «Заказать» — выбранные позиции сами соберутся на листе «Ваш заказ».
LavrPack · +7 (8482) 63-53-54 · 8 (800) 444-26-45 · www.lavrpack.ru</t>
  </si>
  <si>
    <t>Фото</t>
  </si>
  <si>
    <t>Артикул</t>
  </si>
  <si>
    <t>Товар</t>
  </si>
  <si>
    <t>Цвет / вариант</t>
  </si>
  <si>
    <t>Размер / характеристика</t>
  </si>
  <si>
    <t>Ед.</t>
  </si>
  <si>
    <t>В коробке</t>
  </si>
  <si>
    <t>Опт, с НДС</t>
  </si>
  <si>
    <t>В наличии</t>
  </si>
  <si>
    <t>Заказать</t>
  </si>
  <si>
    <t>Сумма</t>
  </si>
  <si>
    <t>Листы · Матовая — 93 поз.</t>
  </si>
  <si>
    <t>b8ddd166-a8cb-11f0-ab48-22344d083d2c#c4f24296-a8cb-11f0-ab48-22344d083d2c</t>
  </si>
  <si>
    <t>115380</t>
  </si>
  <si>
    <t>Набор матовой пленки "L"</t>
  </si>
  <si>
    <t>60см*60см, Черный</t>
  </si>
  <si>
    <t>20 листов</t>
  </si>
  <si>
    <t>https://www.lavrpack.ru/local/templates/phoenix_v1/images_cache/thumbs/f8be1b5bc72e706774f8f690933940c4.webp?v=1790832589</t>
  </si>
  <si>
    <t>1dae4c2a-63d1-11f0-ab47-22344d083d2c#5f5798a9-63d1-11f0-ab47-22344d083d2c</t>
  </si>
  <si>
    <t>113716</t>
  </si>
  <si>
    <t>Пленка "Бесконечность"</t>
  </si>
  <si>
    <t>(20 листов), Черный</t>
  </si>
  <si>
    <t>58см×58см</t>
  </si>
  <si>
    <t>https://www.lavrpack.ru/local/templates/phoenix_v1/images_cache/thumbs/b8cfd182b3131aac61f0fa2028b2e6f0.webp?v=1790791847</t>
  </si>
  <si>
    <t>1dae4c2a-63d1-11f0-ab47-22344d083d2c#4ab23681-63d1-11f0-ab47-22344d083d2c</t>
  </si>
  <si>
    <t>(20 листов), Голубой</t>
  </si>
  <si>
    <t>https://www.lavrpack.ru/local/templates/phoenix_v1/images_cache/thumbs/875af6c1c42b9ebd94a25cced4967fe5.webp?v=1790791847</t>
  </si>
  <si>
    <t>1dae4c2a-63d1-11f0-ab47-22344d083d2c#2cc61a35-63d1-11f0-ab47-22344d083d2c</t>
  </si>
  <si>
    <t>(20 листов), Шампань</t>
  </si>
  <si>
    <t>https://www.lavrpack.ru/local/templates/phoenix_v1/images_cache/thumbs/28958eebf92e167d7d31be1cb9acb71a.webp?v=1790791847</t>
  </si>
  <si>
    <t>1dae4c2a-63d1-11f0-ab47-22344d083d2c#399adc5b-63d1-11f0-ab47-22344d083d2c</t>
  </si>
  <si>
    <t>(20 листов), Сакура</t>
  </si>
  <si>
    <t>https://www.lavrpack.ru/local/templates/phoenix_v1/images_cache/thumbs/b86f673a1e211abb67add92e1a6ccec6.webp?v=1790791847</t>
  </si>
  <si>
    <t>1dae4c2a-63d1-11f0-ab47-22344d083d2c#5786ae85-63d1-11f0-ab47-22344d083d2c</t>
  </si>
  <si>
    <t>(20 листов), Лаванда</t>
  </si>
  <si>
    <t>https://www.lavrpack.ru/local/templates/phoenix_v1/images_cache/thumbs/41715d8bfad1942e71a76cacbaa2004d.webp?v=1790791847</t>
  </si>
  <si>
    <t>1dae4c2a-63d1-11f0-ab47-22344d083d2c#41b67977-63d1-11f0-ab47-22344d083d2c</t>
  </si>
  <si>
    <t>(20 листов), Слоновая кость</t>
  </si>
  <si>
    <t>https://www.lavrpack.ru/local/templates/phoenix_v1/images_cache/thumbs/687d04684733157999c20e0086d662d0.webp?v=1790791847</t>
  </si>
  <si>
    <t>b28d201d-63d6-11f0-ab47-22344d083d2c#d866616a-63d6-11f0-ab47-22344d083d2c</t>
  </si>
  <si>
    <t>113719</t>
  </si>
  <si>
    <t>Пленка "Плетение"</t>
  </si>
  <si>
    <t>(20 листов), Розовый</t>
  </si>
  <si>
    <t>57см×57см</t>
  </si>
  <si>
    <t>https://www.lavrpack.ru/local/templates/phoenix_v1/images_cache/thumbs/40654c91553c6c8868785888469fa994.webp?v=1790791847</t>
  </si>
  <si>
    <t>b28d201d-63d6-11f0-ab47-22344d083d2c#d263955b-63d6-11f0-ab47-22344d083d2c</t>
  </si>
  <si>
    <t>(20 листов), Фуксия</t>
  </si>
  <si>
    <t>https://www.lavrpack.ru/local/templates/phoenix_v1/images_cache/thumbs/c3bb13a8aca7655968d2d3bf7b8bc1d5.webp?v=1790791847</t>
  </si>
  <si>
    <t>b28d201d-63d6-11f0-ab47-22344d083d2c#cb78d8fa-63d6-11f0-ab47-22344d083d2c</t>
  </si>
  <si>
    <t>(20 листов), Красный</t>
  </si>
  <si>
    <t>https://www.lavrpack.ru/local/templates/phoenix_v1/images_cache/thumbs/dce77d4d0a8ae261b43e8d2627f83c8d.webp?v=1790791847</t>
  </si>
  <si>
    <t>b28d201d-63d6-11f0-ab47-22344d083d2c#b8e07e90-63d6-11f0-ab47-22344d083d2c</t>
  </si>
  <si>
    <t>(20 листов), Белый</t>
  </si>
  <si>
    <t>https://www.lavrpack.ru/local/templates/phoenix_v1/images_cache/thumbs/02a205dd00f25bbb06df04a6f33bbc54.webp?v=1790791847</t>
  </si>
  <si>
    <t>b28d201d-63d6-11f0-ab47-22344d083d2c#c56d07dc-63d6-11f0-ab47-22344d083d2c</t>
  </si>
  <si>
    <t>https://www.lavrpack.ru/local/templates/phoenix_v1/images_cache/thumbs/55d28c9eb2178613cafb685c2f660c98.webp?v=1790791847</t>
  </si>
  <si>
    <t>450d5698-9cd3-11ef-ab3b-22344d083d2c#572364f0-9cd3-11ef-ab3b-22344d083d2c</t>
  </si>
  <si>
    <t>110370</t>
  </si>
  <si>
    <t>Пленка "Стиль" 56*50см (10 листов), Светло-фиолетовый</t>
  </si>
  <si>
    <t>https://www.lavrpack.ru/local/templates/phoenix_v1/images_cache/thumbs/93f8a74eb92e43e490c2456efc111400.webp?v=1790791847</t>
  </si>
  <si>
    <t>450d5698-9cd3-11ef-ab3b-22344d083d2c#64abcf42-9cd3-11ef-ab3b-22344d083d2c</t>
  </si>
  <si>
    <t>Пленка "Стиль" 56*50см (10 листов), Синий</t>
  </si>
  <si>
    <t>https://www.lavrpack.ru/local/templates/phoenix_v1/images_cache/thumbs/3c8d028228b8bcaac660ce416bce8d1b.webp?v=1790791847</t>
  </si>
  <si>
    <t>450d5698-9cd3-11ef-ab3b-22344d083d2c#6adc1383-9cd3-11ef-ab3b-22344d083d2c</t>
  </si>
  <si>
    <t>Пленка "Стиль" 56*50см (10 листов), Шампань</t>
  </si>
  <si>
    <t>https://www.lavrpack.ru/local/templates/phoenix_v1/images_cache/thumbs/ac63e49a9dcd5ab7c5e86c4e4ed7307c.webp?v=1790791847</t>
  </si>
  <si>
    <t>d3720cff-63d3-11f0-ab47-22344d083d2c#f9f207a0-63d3-11f0-ab47-22344d083d2c</t>
  </si>
  <si>
    <t>113717</t>
  </si>
  <si>
    <t>Пленка "LOVE life"</t>
  </si>
  <si>
    <t>https://www.lavrpack.ru/local/templates/phoenix_v1/images_cache/thumbs/62961f6aeb7df862085664bd651e3ff2.webp?v=1790791847</t>
  </si>
  <si>
    <t>d3720cff-63d3-11f0-ab47-22344d083d2c#0839bba3-63d4-11f0-ab47-22344d083d2c</t>
  </si>
  <si>
    <t>(20 листов), Желтый</t>
  </si>
  <si>
    <t>https://www.lavrpack.ru/local/templates/phoenix_v1/images_cache/thumbs/0abf67b495628a979c11ef6431d16af2.webp?v=1790791847</t>
  </si>
  <si>
    <t>d3720cff-63d3-11f0-ab47-22344d083d2c#14f15a9c-63d4-11f0-ab47-22344d083d2c</t>
  </si>
  <si>
    <t>https://www.lavrpack.ru/local/templates/phoenix_v1/images_cache/thumbs/bc8b270d9a7789c0214b73ef6bca19b8.webp?v=1790791847</t>
  </si>
  <si>
    <t>d3720cff-63d3-11f0-ab47-22344d083d2c#4b7e79a7-63d4-11f0-ab47-22344d083d2c</t>
  </si>
  <si>
    <t>(20 листов), Оранжевый</t>
  </si>
  <si>
    <t>https://www.lavrpack.ru/local/templates/phoenix_v1/images_cache/thumbs/3b75296657e16e58d466b1ccc9ea22d0.webp?v=1790791847</t>
  </si>
  <si>
    <t>d3720cff-63d3-11f0-ab47-22344d083d2c#00707ac9-63d4-11f0-ab47-22344d083d2c</t>
  </si>
  <si>
    <t>(20 листов), Мятный</t>
  </si>
  <si>
    <t>https://www.lavrpack.ru/local/templates/phoenix_v1/images_cache/thumbs/9a2391261adffb65268f3dd7f27bb837.webp?v=1790791847</t>
  </si>
  <si>
    <t>95f05f22-92e4-11f0-ab48-22344d083d2c#c6d2978c-92e4-11f0-ab48-22344d083d2c</t>
  </si>
  <si>
    <t>114850</t>
  </si>
  <si>
    <t>Пленка "Merry Christmas"</t>
  </si>
  <si>
    <t>(20 листов), Зеленый</t>
  </si>
  <si>
    <t>https://www.lavrpack.ru/local/templates/phoenix_v1/images_cache/thumbs/c2dc388864f131fc8cdfd6a002a3e4e8.webp?v=1790832589</t>
  </si>
  <si>
    <t>95f05f22-92e4-11f0-ab48-22344d083d2c#b3a438f6-92e4-11f0-ab48-22344d083d2c</t>
  </si>
  <si>
    <t>(20 листов), Белый/Зеленый</t>
  </si>
  <si>
    <t>https://www.lavrpack.ru/local/templates/phoenix_v1/images_cache/thumbs/0b06aff166588c43b9762aab4eaef61d.webp?v=1790832589</t>
  </si>
  <si>
    <t>95f05f22-92e4-11f0-ab48-22344d083d2c#acd6c158-92e4-11f0-ab48-22344d083d2c</t>
  </si>
  <si>
    <t>(20 листов), Белый/Коричневый</t>
  </si>
  <si>
    <t>https://www.lavrpack.ru/local/templates/phoenix_v1/images_cache/thumbs/92d5d2b7ebde46ef520ab6e9f75241e4.webp?v=1790832589</t>
  </si>
  <si>
    <t>95f05f22-92e4-11f0-ab48-22344d083d2c#bf985cf3-92e4-11f0-ab48-22344d083d2c</t>
  </si>
  <si>
    <t>(20 листов), Красный/Зеленый</t>
  </si>
  <si>
    <t>https://www.lavrpack.ru/local/templates/phoenix_v1/images_cache/thumbs/d5d90f6afff17d5b0400beff603890a3.webp?v=1790832589</t>
  </si>
  <si>
    <t>95f05f22-92e4-11f0-ab48-22344d083d2c#a407fa8e-92e4-11f0-ab48-22344d083d2c</t>
  </si>
  <si>
    <t>(20 листов), Белый/Красный</t>
  </si>
  <si>
    <t>https://www.lavrpack.ru/local/templates/phoenix_v1/images_cache/thumbs/3e37e024823926522a260a8e748620a1.webp?v=1790832589</t>
  </si>
  <si>
    <t>06841901-7f2b-11ec-b73f-0018e40a3af2</t>
  </si>
  <si>
    <t>44345</t>
  </si>
  <si>
    <t>Пленка в рулоне</t>
  </si>
  <si>
    <t>Китай</t>
  </si>
  <si>
    <t>Матовая 60 см×10м. в ассорт</t>
  </si>
  <si>
    <t>https://www.lavrpack.ru/local/templates/phoenix_v1/images_cache/thumbs/f381e1f39e0ececa2a582d51648794bf.webp?v=1790832589</t>
  </si>
  <si>
    <t>03be191e-d6e7-11ee-a0ad-00e01a6800eb#2d7938eb-d6e7-11ee-a0ad-00e01a6800eb</t>
  </si>
  <si>
    <t>106524</t>
  </si>
  <si>
    <t>Пленка Воздушное сердце</t>
  </si>
  <si>
    <t>(20 листов), Персиковый</t>
  </si>
  <si>
    <t>https://www.lavrpack.ru/local/templates/phoenix_v1/images_cache/thumbs/2a26e9e1cc5da2920922c0b6bb3442d0.webp?v=1790791847</t>
  </si>
  <si>
    <t>03be191e-d6e7-11ee-a0ad-00e01a6800eb#0b65259f-d6e7-11ee-a0ad-00e01a6800eb</t>
  </si>
  <si>
    <t>https://www.lavrpack.ru/local/templates/phoenix_v1/images_cache/thumbs/f8601a5c4359ce22d2a2ace36d09e829.webp?v=1790791847</t>
  </si>
  <si>
    <t>a4ff0ee5-d6e8-11ee-a0ad-00e01a6800eb#bcca7042-d6e8-11ee-a0ad-00e01a6800eb</t>
  </si>
  <si>
    <t>106527</t>
  </si>
  <si>
    <t>Пленка Гипюр</t>
  </si>
  <si>
    <t>(20 листов), Светло-зеленый</t>
  </si>
  <si>
    <t>https://www.lavrpack.ru/local/templates/phoenix_v1/images_cache/thumbs/2c31246e60b56db793be08e7ad7dd06d.webp?v=1790791847</t>
  </si>
  <si>
    <t>96ce5b91-47f1-11ee-a90e-00e01a6800eb#f692f784-efee-11ee-9f05-00e01a6800eb</t>
  </si>
  <si>
    <t>103876</t>
  </si>
  <si>
    <t>Пленка двухсторонняя с градиентом</t>
  </si>
  <si>
    <t>(20 листов), Голубой+</t>
  </si>
  <si>
    <t>https://www.lavrpack.ru/local/templates/phoenix_v1/images_cache/thumbs/6c8665f5bc72095a92f3637d2952b3cc.webp?v=1790791847</t>
  </si>
  <si>
    <t>96ce5b91-47f1-11ee-a90e-00e01a6800eb#0d15dadc-efef-11ee-9f05-00e01a6800eb</t>
  </si>
  <si>
    <t>(20 листов), Крем+</t>
  </si>
  <si>
    <t>https://www.lavrpack.ru/local/templates/phoenix_v1/images_cache/thumbs/0fe71fb77f49e93a012570894d4938d7.webp?v=1790791847</t>
  </si>
  <si>
    <t>f7bd9b0a-d6ec-11ee-a0ad-00e01a6800eb#17f0d860-d6ed-11ee-a0ad-00e01a6800eb</t>
  </si>
  <si>
    <t>106535</t>
  </si>
  <si>
    <t>Пленка Золотой песок</t>
  </si>
  <si>
    <t>(20 листов), Лунная ночь/Серебрянная звезда</t>
  </si>
  <si>
    <t>https://www.lavrpack.ru/local/templates/phoenix_v1/images_cache/thumbs/edb817aac7d49280c6e9fd9007fd1c9a.webp?v=1790791847</t>
  </si>
  <si>
    <t>f2cbfd36-adfb-11ed-ba70-00e01a6800eb#6b173590-adfc-11ed-ba70-00e01a6800eb</t>
  </si>
  <si>
    <t>80194</t>
  </si>
  <si>
    <t>Пленка Летний цвет</t>
  </si>
  <si>
    <t>(20 листов), Жёлтый/Белый</t>
  </si>
  <si>
    <t>https://www.lavrpack.ru/local/templates/phoenix_v1/images_cache/thumbs/89aad03af8c28999b00c2661d43d5187.webp?v=1790791847</t>
  </si>
  <si>
    <t>9b73f809-d6f0-11ee-a0ad-00e01a6800eb#aab88b8b-d6f0-11ee-a0ad-00e01a6800eb</t>
  </si>
  <si>
    <t>106544</t>
  </si>
  <si>
    <t>Пленка Мармелад</t>
  </si>
  <si>
    <t>(20 листов), Капучино</t>
  </si>
  <si>
    <t>https://www.lavrpack.ru/local/templates/phoenix_v1/images_cache/thumbs/f15df7a777323fe1f7f928ede4006c22.webp?v=1790791847</t>
  </si>
  <si>
    <t>9b73f809-d6f0-11ee-a0ad-00e01a6800eb#000fa12d-d6f1-11ee-a0ad-00e01a6800eb</t>
  </si>
  <si>
    <t>(20 листов), Серебро</t>
  </si>
  <si>
    <t>https://www.lavrpack.ru/local/templates/phoenix_v1/images_cache/thumbs/8560ef8f83ed390e31821293680e123a.webp?v=1790791847</t>
  </si>
  <si>
    <t>9b73f809-d6f0-11ee-a0ad-00e01a6800eb#e4b6f228-d6f0-11ee-a0ad-00e01a6800eb</t>
  </si>
  <si>
    <t>(20 листов), Нежно-желтый</t>
  </si>
  <si>
    <t>https://www.lavrpack.ru/local/templates/phoenix_v1/images_cache/thumbs/85436d8b218a65df583b6bf9a50900fe.webp?v=1790791847</t>
  </si>
  <si>
    <t>9b73f809-d6f0-11ee-a0ad-00e01a6800eb#b108d1e5-d6f0-11ee-a0ad-00e01a6800eb</t>
  </si>
  <si>
    <t>(20 листов), Красная слива</t>
  </si>
  <si>
    <t>https://www.lavrpack.ru/local/templates/phoenix_v1/images_cache/thumbs/d1e66eb6abb6b7c448afe08bbab3ff60.webp?v=1790791847</t>
  </si>
  <si>
    <t>4dddd73f-4d00-11f0-ab41-22344d083d2c#549a6727-4d00-11f0-ab41-22344d083d2c</t>
  </si>
  <si>
    <t>113228</t>
  </si>
  <si>
    <t>Пленка матовая</t>
  </si>
  <si>
    <t>Белый</t>
  </si>
  <si>
    <t>"С Днём Рождения" 10 листов 58см×58см</t>
  </si>
  <si>
    <t>https://www.lavrpack.ru/local/templates/phoenix_v1/images_cache/thumbs/5d7e13b1ac859e48edf51660d0fe9ac5.webp?v=1790832589</t>
  </si>
  <si>
    <t>4dddd73f-4d00-11f0-ab41-22344d083d2c#614c8762-4d00-11f0-ab41-22344d083d2c</t>
  </si>
  <si>
    <t>Розовый</t>
  </si>
  <si>
    <t>https://www.lavrpack.ru/local/templates/phoenix_v1/images_cache/thumbs/d52db38b00f85ca61925ce07d26a97ad.webp?v=1790832589</t>
  </si>
  <si>
    <t>4dddd73f-4d00-11f0-ab41-22344d083d2c#14f9b252-4d02-11f0-ab41-22344d083d2c</t>
  </si>
  <si>
    <t>Красный</t>
  </si>
  <si>
    <t>https://www.lavrpack.ru/local/templates/phoenix_v1/images_cache/thumbs/fc9e1a369373194ab06cfcdd88074b30.webp?v=1790832589</t>
  </si>
  <si>
    <t>2280902b-63d8-11f0-ab47-22344d083d2c#6adc560c-63d8-11f0-ab47-22344d083d2c</t>
  </si>
  <si>
    <t>113720</t>
  </si>
  <si>
    <t>Пленка матовая "Кант"</t>
  </si>
  <si>
    <t>https://www.lavrpack.ru/local/templates/phoenix_v1/images_cache/thumbs/2b0e80e0bf586bccfbe48cb6b7e3368a.webp?v=1790791847</t>
  </si>
  <si>
    <t>2280902b-63d8-11f0-ab47-22344d083d2c#63e53f28-63d8-11f0-ab47-22344d083d2c</t>
  </si>
  <si>
    <t>(20 листов), Синий</t>
  </si>
  <si>
    <t>https://www.lavrpack.ru/local/templates/phoenix_v1/images_cache/thumbs/3b45285498b2b77925f41b0314a392fa.webp?v=1790791847</t>
  </si>
  <si>
    <t>2280902b-63d8-11f0-ab47-22344d083d2c#2f3a6532-63d8-11f0-ab47-22344d083d2c</t>
  </si>
  <si>
    <t>(20 листов), Бежевый</t>
  </si>
  <si>
    <t>https://www.lavrpack.ru/local/templates/phoenix_v1/images_cache/thumbs/77e9e0b6e2e1b23cbd127b470ff987b3.webp?v=1790791847</t>
  </si>
  <si>
    <t>2280902b-63d8-11f0-ab47-22344d083d2c#552bb06b-63d8-11f0-ab47-22344d083d2c</t>
  </si>
  <si>
    <t>(20 листов), Серый</t>
  </si>
  <si>
    <t>https://www.lavrpack.ru/local/templates/phoenix_v1/images_cache/thumbs/ba8fab0d9b0a223d8eeab1bebfd4da1b.webp?v=1790791847</t>
  </si>
  <si>
    <t>00c6e28a-63da-11f0-ab47-22344d083d2c#1822d999-63da-11f0-ab47-22344d083d2c</t>
  </si>
  <si>
    <t>113726</t>
  </si>
  <si>
    <t>Пленка матовая "Amore"</t>
  </si>
  <si>
    <t>https://www.lavrpack.ru/local/templates/phoenix_v1/images_cache/thumbs/e6168867ee47da30bdb57acd188712dd.webp?v=1790791847</t>
  </si>
  <si>
    <t>00c6e28a-63da-11f0-ab47-22344d083d2c#24ea6099-63da-11f0-ab47-22344d083d2c</t>
  </si>
  <si>
    <t>(20 листов), Фиолетовый</t>
  </si>
  <si>
    <t>https://www.lavrpack.ru/local/templates/phoenix_v1/images_cache/thumbs/8e6b26549980e35d031157625261efbc.webp?v=1790791847</t>
  </si>
  <si>
    <t>00c6e28a-63da-11f0-ab47-22344d083d2c#2b175c6c-63da-11f0-ab47-22344d083d2c</t>
  </si>
  <si>
    <t>https://www.lavrpack.ru/local/templates/phoenix_v1/images_cache/thumbs/d4bb6b3e5fc3a8310121c6e624864219.webp?v=1790791847</t>
  </si>
  <si>
    <t>00c6e28a-63da-11f0-ab47-22344d083d2c#1e7b4ce1-63da-11f0-ab47-22344d083d2c</t>
  </si>
  <si>
    <t>https://www.lavrpack.ru/local/templates/phoenix_v1/images_cache/thumbs/2155b452fd78311bcd356ab9cc4e8612.webp?v=1790791847</t>
  </si>
  <si>
    <t>00c6e28a-63da-11f0-ab47-22344d083d2c#11f3b359-63da-11f0-ab47-22344d083d2c</t>
  </si>
  <si>
    <t>(20 листов), Персик</t>
  </si>
  <si>
    <t>https://www.lavrpack.ru/local/templates/phoenix_v1/images_cache/thumbs/7f06e21de32827f147da8293412cdbac.webp?v=1790791847</t>
  </si>
  <si>
    <t>00c6e28a-63da-11f0-ab47-22344d083d2c#09a6d9a1-63da-11f0-ab47-22344d083d2c</t>
  </si>
  <si>
    <t>https://www.lavrpack.ru/local/templates/phoenix_v1/images_cache/thumbs/83c6f7ca5469fd47000469a9b54a8166.webp?v=1790791847</t>
  </si>
  <si>
    <t>dc099cb5-7fb6-11ee-a8ad-00e01a6800eb#6f7ffbce-7fb7-11ee-a8ad-00e01a6800eb</t>
  </si>
  <si>
    <t>104883</t>
  </si>
  <si>
    <t>Пленка матовая, цветной кант</t>
  </si>
  <si>
    <t>(20 листов) , Винный</t>
  </si>
  <si>
    <t>https://www.lavrpack.ru/local/templates/phoenix_v1/images_cache/thumbs/4ee8f5e93f45a18a06065289e54015e3.webp?v=1790791847</t>
  </si>
  <si>
    <t>dc099cb5-7fb6-11ee-a8ad-00e01a6800eb#abe5109e-0c35-11ef-9f05-00e01a6800eb</t>
  </si>
  <si>
    <t>(20 листов) , Белый с черным</t>
  </si>
  <si>
    <t>https://www.lavrpack.ru/local/templates/phoenix_v1/images_cache/thumbs/75f06c85ade4f74d6d1e7daa83105acc.webp?v=1790791847</t>
  </si>
  <si>
    <t>dc099cb5-7fb6-11ee-a8ad-00e01a6800eb#5ebe8c20-7fb7-11ee-a8ad-00e01a6800eb</t>
  </si>
  <si>
    <t>(20 листов) , Сиреневый</t>
  </si>
  <si>
    <t>https://www.lavrpack.ru/local/templates/phoenix_v1/images_cache/thumbs/aa898983a37b3228e300f228b72155cd.webp?v=1790791847</t>
  </si>
  <si>
    <t>dc099cb5-7fb6-11ee-a8ad-00e01a6800eb#5512f503-7fb7-11ee-a8ad-00e01a6800eb</t>
  </si>
  <si>
    <t>(20 листов) , Светло фиолетовый</t>
  </si>
  <si>
    <t>https://www.lavrpack.ru/local/templates/phoenix_v1/images_cache/thumbs/a57e43c2371d4f60c410d3d2354343be.webp?v=1790791847</t>
  </si>
  <si>
    <t>dc099cb5-7fb6-11ee-a8ad-00e01a6800eb#a329e463-0c35-11ef-9f05-00e01a6800eb</t>
  </si>
  <si>
    <t>(20 листов) , Серебро</t>
  </si>
  <si>
    <t>https://www.lavrpack.ru/local/templates/phoenix_v1/images_cache/thumbs/3e63ce8bff8caf3a6b456bef271efd81.webp?v=1790791847</t>
  </si>
  <si>
    <t>dc099cb5-7fb6-11ee-a8ad-00e01a6800eb#2d6383f2-7fb7-11ee-a8ad-00e01a6800eb</t>
  </si>
  <si>
    <t>(20 листов) , Бежевый</t>
  </si>
  <si>
    <t>https://www.lavrpack.ru/local/templates/phoenix_v1/images_cache/thumbs/bffe45291a06b0f4febe70721f3aa6f8.webp?v=1790791847</t>
  </si>
  <si>
    <t>dc099cb5-7fb6-11ee-a8ad-00e01a6800eb#4096fd97-7fb7-11ee-a8ad-00e01a6800eb</t>
  </si>
  <si>
    <t>(20 листов) , Голубой</t>
  </si>
  <si>
    <t>https://www.lavrpack.ru/local/templates/phoenix_v1/images_cache/thumbs/8c19d2f764f61b78fbff322eb3235423.webp?v=1790791847</t>
  </si>
  <si>
    <t>dc099cb5-7fb6-11ee-a8ad-00e01a6800eb#6702b374-7fb7-11ee-a8ad-00e01a6800eb</t>
  </si>
  <si>
    <t>(20 листов) , Фиолетовый</t>
  </si>
  <si>
    <t>https://www.lavrpack.ru/local/templates/phoenix_v1/images_cache/thumbs/82e3bfe4c9887c120d36c7904d57924a.webp?v=1790791847</t>
  </si>
  <si>
    <t>dc099cb5-7fb6-11ee-a8ad-00e01a6800eb#c6d76471-0c35-11ef-9f05-00e01a6800eb</t>
  </si>
  <si>
    <t>(20 листов) , Синий</t>
  </si>
  <si>
    <t>https://www.lavrpack.ru/local/templates/phoenix_v1/images_cache/thumbs/75ca70e30a0365b71499c70a8421d217.webp?v=1790791847</t>
  </si>
  <si>
    <t>2cb008d1-d6f3-11ee-a0ad-00e01a6800eb#5969a3b7-d6f3-11ee-a0ad-00e01a6800eb</t>
  </si>
  <si>
    <t>106548</t>
  </si>
  <si>
    <t>Пленка Мрамор</t>
  </si>
  <si>
    <t>(20 листов), Светло серый</t>
  </si>
  <si>
    <t>https://www.lavrpack.ru/local/templates/phoenix_v1/images_cache/thumbs/5da72374fbba6b7960c230fbe6257073.webp?v=1790791847</t>
  </si>
  <si>
    <t>2cb008d1-d6f3-11ee-a0ad-00e01a6800eb#66bcb79f-d6f3-11ee-a0ad-00e01a6800eb</t>
  </si>
  <si>
    <t>https://www.lavrpack.ru/local/templates/phoenix_v1/images_cache/thumbs/7f3f541c35a92960908d1be8054fa5a9.webp?v=1790791847</t>
  </si>
  <si>
    <t>d903d913-47ec-11ee-a90e-00e01a6800eb#f54f02b5-47ec-11ee-a90e-00e01a6800eb</t>
  </si>
  <si>
    <t>103866</t>
  </si>
  <si>
    <t>Пленка Сердце</t>
  </si>
  <si>
    <t>(20 листов), Белый/Черный</t>
  </si>
  <si>
    <t>https://www.lavrpack.ru/local/templates/phoenix_v1/images_cache/thumbs/8306ee2a55c9596fc02b63bcfe3dacb2.webp?v=1790791847</t>
  </si>
  <si>
    <t>98f0717d-d6f8-11ee-a0ad-00e01a6800eb#c7483c09-d6f8-11ee-a0ad-00e01a6800eb</t>
  </si>
  <si>
    <t>106558</t>
  </si>
  <si>
    <t>Пленка Сливочная</t>
  </si>
  <si>
    <t>(20 листов), Кристально-фиолетовый</t>
  </si>
  <si>
    <t>https://www.lavrpack.ru/local/templates/phoenix_v1/images_cache/thumbs/9366e6cc0dd7a02dbb42823e030d92ff.webp?v=1790791847</t>
  </si>
  <si>
    <t>98f0717d-d6f8-11ee-a0ad-00e01a6800eb#dc9cd0bb-d6f8-11ee-a0ad-00e01a6800eb</t>
  </si>
  <si>
    <t>(20 листов), Розовый персик</t>
  </si>
  <si>
    <t>https://www.lavrpack.ru/local/templates/phoenix_v1/images_cache/thumbs/27e662034ca4d8b916569ad94f9f4da4.webp?v=1790791847</t>
  </si>
  <si>
    <t>98f0717d-d6f8-11ee-a0ad-00e01a6800eb#acfee9ac-d6f8-11ee-a0ad-00e01a6800eb</t>
  </si>
  <si>
    <t>https://www.lavrpack.ru/local/templates/phoenix_v1/images_cache/thumbs/41554d2474c291eb51d70adcf67aed9a.webp?v=1790791847</t>
  </si>
  <si>
    <t>98f0717d-d6f8-11ee-a0ad-00e01a6800eb#a01bb670-d6f8-11ee-a0ad-00e01a6800eb</t>
  </si>
  <si>
    <t>(20 листов), Авокадо</t>
  </si>
  <si>
    <t>https://www.lavrpack.ru/local/templates/phoenix_v1/images_cache/thumbs/53ce2ec3c62e7052d2c92bef27f4bfa5.webp?v=1790791847</t>
  </si>
  <si>
    <t>98f0717d-d6f8-11ee-a0ad-00e01a6800eb#a6d257f6-d6f8-11ee-a0ad-00e01a6800eb</t>
  </si>
  <si>
    <t>https://www.lavrpack.ru/local/templates/phoenix_v1/images_cache/thumbs/e7f184ad2785a16c5c47c0cc9a93671f.webp?v=1790791847</t>
  </si>
  <si>
    <t>98f0717d-d6f8-11ee-a0ad-00e01a6800eb#d00a8c2d-d6f8-11ee-a0ad-00e01a6800eb</t>
  </si>
  <si>
    <t>(20 листов), Пепельная роза</t>
  </si>
  <si>
    <t>https://www.lavrpack.ru/local/templates/phoenix_v1/images_cache/thumbs/807f42630ebb4bd50fc8efac11ec3f36.webp?v=1790791847</t>
  </si>
  <si>
    <t>98f0717d-d6f8-11ee-a0ad-00e01a6800eb#f21519e1-d6f8-11ee-a0ad-00e01a6800eb</t>
  </si>
  <si>
    <t>(20 листов), Хрустальная роза</t>
  </si>
  <si>
    <t>https://www.lavrpack.ru/local/templates/phoenix_v1/images_cache/thumbs/48c097bc52ae8725e02dc0513b850f53.webp?v=1790791847</t>
  </si>
  <si>
    <t>98f0717d-d6f8-11ee-a0ad-00e01a6800eb#c1442181-d6f8-11ee-a0ad-00e01a6800eb</t>
  </si>
  <si>
    <t>(20 листов), Конфетный</t>
  </si>
  <si>
    <t>https://www.lavrpack.ru/local/templates/phoenix_v1/images_cache/thumbs/53d357704782c079af99e7503feca22f.webp?v=1790791847</t>
  </si>
  <si>
    <t>98f0717d-d6f8-11ee-a0ad-00e01a6800eb#e4e0f7ea-d6f8-11ee-a0ad-00e01a6800eb</t>
  </si>
  <si>
    <t>(20 листов), Светло-голубой</t>
  </si>
  <si>
    <t>https://www.lavrpack.ru/local/templates/phoenix_v1/images_cache/thumbs/d21f34e364eef33a329e125f546ec132.webp?v=1790791847</t>
  </si>
  <si>
    <t>42d85e30-9dbf-11ef-ab3b-22344d083d2c#b3acc1d6-9dbf-11ef-ab3b-22344d083d2c</t>
  </si>
  <si>
    <t>110398</t>
  </si>
  <si>
    <t>Пленка Сливочный микс</t>
  </si>
  <si>
    <t>https://www.lavrpack.ru/local/templates/phoenix_v1/images_cache/thumbs/33d081b686faf017a04d00f26058e6b6.webp?v=1790791847</t>
  </si>
  <si>
    <t>42d85e30-9dbf-11ef-ab3b-22344d083d2c#a6dce740-9dbf-11ef-ab3b-22344d083d2c</t>
  </si>
  <si>
    <t>(20 листов), Авакадо</t>
  </si>
  <si>
    <t>https://www.lavrpack.ru/local/templates/phoenix_v1/images_cache/thumbs/67be62a57268e48fa796ac00430c0839.webp?v=1790791847</t>
  </si>
  <si>
    <t>42d85e30-9dbf-11ef-ab3b-22344d083d2c#d79398bf-9dbf-11ef-ab3b-22344d083d2c</t>
  </si>
  <si>
    <t>https://www.lavrpack.ru/local/templates/phoenix_v1/images_cache/thumbs/6f9b3c5310592c31e22a69afc6527ba1.webp?v=1790791847</t>
  </si>
  <si>
    <t>42d85e30-9dbf-11ef-ab3b-22344d083d2c#068c0861-9dc0-11ef-ab3b-22344d083d2c</t>
  </si>
  <si>
    <t>https://www.lavrpack.ru/local/templates/phoenix_v1/images_cache/thumbs/16702755de812f45cf3ae5a5e014f75d.webp?v=1790791847</t>
  </si>
  <si>
    <t>c477b6d5-ae9c-11ed-ba70-00e01a6800eb#2eaf0bd0-ae9d-11ed-ba70-00e01a6800eb</t>
  </si>
  <si>
    <t>80204</t>
  </si>
  <si>
    <t>Пленка Точка</t>
  </si>
  <si>
    <t>(20 листов), Апельсиновый (051)</t>
  </si>
  <si>
    <t>https://www.lavrpack.ru/local/templates/phoenix_v1/images_cache/thumbs/4aab09150006ded73a74e8868a54cd03.webp?v=1790791847</t>
  </si>
  <si>
    <t>c477b6d5-ae9c-11ed-ba70-00e01a6800eb#93b83433-ae9d-11ed-ba70-00e01a6800eb</t>
  </si>
  <si>
    <t>(20 листов), Пастельный (165)</t>
  </si>
  <si>
    <t>https://www.lavrpack.ru/local/templates/phoenix_v1/images_cache/thumbs/bc0e397707bdb07b1ce843e6d7659ce5.webp?v=1790791847</t>
  </si>
  <si>
    <t>c477b6d5-ae9c-11ed-ba70-00e01a6800eb#5a7cfe7b-ae9d-11ed-ba70-00e01a6800eb</t>
  </si>
  <si>
    <t>(20 листов), Синий (105)</t>
  </si>
  <si>
    <t>https://www.lavrpack.ru/local/templates/phoenix_v1/images_cache/thumbs/749823e8c1da0c85bf8c4d4408a58b99.webp?v=1790791847</t>
  </si>
  <si>
    <t>db94fba1-ca5f-11ee-a0ad-00e01a6800eb#a84a9642-efee-11ee-9f05-00e01a6800eb</t>
  </si>
  <si>
    <t>106064</t>
  </si>
  <si>
    <t>Пленка Lizhiran</t>
  </si>
  <si>
    <t>(20 листов), Пудра/Песочный</t>
  </si>
  <si>
    <t>88c65df1-d6f6-11ee-a0ad-00e01a6800eb#3c8eec43-d6f7-11ee-a0ad-00e01a6800eb</t>
  </si>
  <si>
    <t>106554</t>
  </si>
  <si>
    <t>Тишью Сидней</t>
  </si>
  <si>
    <t>(40 листов), Черный</t>
  </si>
  <si>
    <t>50см×70м</t>
  </si>
  <si>
    <t>https://www.lavrpack.ru/local/templates/phoenix_v1/images_cache/thumbs/adc8c77473b30f5afb737c39ea963b4e.webp?v=1790791847</t>
  </si>
  <si>
    <t>88c65df1-d6f6-11ee-a0ad-00e01a6800eb#f4eeefef-0924-11ef-9f05-00e01a6800eb</t>
  </si>
  <si>
    <t>(40 листов), Песочный</t>
  </si>
  <si>
    <t>https://www.lavrpack.ru/local/templates/phoenix_v1/images_cache/thumbs/e8e2f42465731dd347e7ab98977dee24.webp?v=1790791847</t>
  </si>
  <si>
    <t>6c04b392-bcc5-11ed-8100-00e01a6800eb#b631f979-b6af-11ee-baea-00e01a6800eb</t>
  </si>
  <si>
    <t>80628</t>
  </si>
  <si>
    <t>Упак. материал</t>
  </si>
  <si>
    <t>Фуксия</t>
  </si>
  <si>
    <t>"Латексная пленка" 60×60см (10 листов)</t>
  </si>
  <si>
    <t>https://www.lavrpack.ru/local/templates/phoenix_v1/images_cache/thumbs/d30356bc0db8e0fd7c32112858cc4c08.webp?v=1790791847</t>
  </si>
  <si>
    <t>6c04b392-bcc5-11ed-8100-00e01a6800eb#7f571f0c-bcc5-11ed-8100-00e01a6800eb</t>
  </si>
  <si>
    <t>Серый</t>
  </si>
  <si>
    <t>https://www.lavrpack.ru/local/templates/phoenix_v1/images_cache/thumbs/da071d76ff925fc47fb8cb6634e0816d.webp?v=1790791847</t>
  </si>
  <si>
    <t>6c04b392-bcc5-11ed-8100-00e01a6800eb#9a8756ad-bcc5-11ed-8100-00e01a6800eb</t>
  </si>
  <si>
    <t>https://www.lavrpack.ru/local/templates/phoenix_v1/images_cache/thumbs/19623860d63b45ceddc7da7787ac229a.webp?v=1790854358</t>
  </si>
  <si>
    <t>6c04b392-bcc5-11ed-8100-00e01a6800eb#c578ee5b-b6af-11ee-baea-00e01a6800eb</t>
  </si>
  <si>
    <t>Голубой</t>
  </si>
  <si>
    <t>https://www.lavrpack.ru/local/templates/phoenix_v1/images_cache/thumbs/39037325668d5c1d2155f483ec1cae6d.webp?v=1790791847</t>
  </si>
  <si>
    <t>6c04b392-bcc5-11ed-8100-00e01a6800eb#b3c60ec4-bcc5-11ed-8100-00e01a6800eb</t>
  </si>
  <si>
    <t>https://www.lavrpack.ru/local/templates/phoenix_v1/images_cache/thumbs/d66f3eef0cc70c50ef2684a8a4fec312.webp?v=1790791847</t>
  </si>
  <si>
    <t>6c04b392-bcc5-11ed-8100-00e01a6800eb#a470d1a1-bcc5-11ed-8100-00e01a6800eb</t>
  </si>
  <si>
    <t>Пастельный зеленый</t>
  </si>
  <si>
    <t>https://www.lavrpack.ru/local/templates/phoenix_v1/images_cache/thumbs/09b287594b96f6c4a72dddad6fbc050e.webp?v=1790791847</t>
  </si>
  <si>
    <t>6c04b392-bcc5-11ed-8100-00e01a6800eb#abf8ec3e-bcc5-11ed-8100-00e01a6800eb</t>
  </si>
  <si>
    <t>Кофе с молоком</t>
  </si>
  <si>
    <t>https://www.lavrpack.ru/local/templates/phoenix_v1/images_cache/thumbs/e4ea8a3fa3a336f9280c42ecac6854bd.webp?v=1790791847</t>
  </si>
  <si>
    <t>6c04b392-bcc5-11ed-8100-00e01a6800eb#79955f66-e5d9-11ed-8488-00e01a6800eb</t>
  </si>
  <si>
    <t>Бежевый</t>
  </si>
  <si>
    <t>https://www.lavrpack.ru/local/templates/phoenix_v1/images_cache/thumbs/0d3ac0e15c6b4c82e445e17f782a0c7d.webp?v=1790791847</t>
  </si>
  <si>
    <t>6c04b392-bcc5-11ed-8100-00e01a6800eb#a4a89634-b6af-11ee-baea-00e01a6800eb</t>
  </si>
  <si>
    <t>Алый</t>
  </si>
  <si>
    <t>https://www.lavrpack.ru/local/templates/phoenix_v1/images_cache/thumbs/2a71f6b36b960bbd3613fdb62556c26a.webp?v=1790791847</t>
  </si>
  <si>
    <t>6c04b392-bcc5-11ed-8100-00e01a6800eb#92bef6e8-bcc5-11ed-8100-00e01a6800eb</t>
  </si>
  <si>
    <t>Сиреневый</t>
  </si>
  <si>
    <t>https://www.lavrpack.ru/local/templates/phoenix_v1/images_cache/thumbs/f9785e4d526608da452236046bc233e9.webp?v=1790791847</t>
  </si>
  <si>
    <t>6c04b392-bcc5-11ed-8100-00e01a6800eb#8953a4f2-bcc5-11ed-8100-00e01a6800eb</t>
  </si>
  <si>
    <t>https://www.lavrpack.ru/local/templates/phoenix_v1/images_cache/thumbs/59871874c10af48573947f73efb541ee.webp?v=1790791847</t>
  </si>
  <si>
    <t>6c04b392-bcc5-11ed-8100-00e01a6800eb#d5d9a66b-be72-11ed-8100-00e01a6800eb</t>
  </si>
  <si>
    <t>Светло сиреневый</t>
  </si>
  <si>
    <t>https://www.lavrpack.ru/local/templates/phoenix_v1/images_cache/thumbs/021ea632c105a3b4a176b5584ba24769.webp?v=1790791847</t>
  </si>
  <si>
    <t>Выбрано позиций</t>
  </si>
  <si>
    <t>Общее количество</t>
  </si>
  <si>
    <t>Сумма заказа</t>
  </si>
  <si>
    <t>служебная</t>
  </si>
  <si>
    <t>UUID</t>
  </si>
  <si>
    <t>ИД_1С</t>
  </si>
  <si>
    <t>К1С</t>
  </si>
  <si>
    <t xml:space="preserve"> · Ваш заказ</t>
  </si>
  <si>
    <t>Здесь автоматически отображаются только позиции, в которых на листе «Прайс и заказ» указано количество. Лист обновляется сам — ничего копировать не нужно.</t>
  </si>
  <si>
    <t>Итого позиций</t>
  </si>
  <si>
    <t>Цена опт, с НДС</t>
  </si>
  <si>
    <t>LP-ORDER-1</t>
  </si>
  <si>
    <t>Дата выгрузки: 2026-10-01 20:29</t>
  </si>
  <si>
    <t>Тип цены: опт</t>
  </si>
  <si>
    <t>Раздел: Плёнка</t>
  </si>
  <si>
    <t>id_format</t>
  </si>
  <si>
    <t>GUID | GUID#GUID</t>
  </si>
  <si>
    <t>id_sep</t>
  </si>
  <si>
    <t>#</t>
  </si>
  <si>
    <t>Лист</t>
  </si>
  <si>
    <t>СтрокаЗаголовков</t>
  </si>
  <si>
    <t>КолИД1С</t>
  </si>
  <si>
    <t>КолКоличество</t>
  </si>
  <si>
    <t>КолЦена</t>
  </si>
  <si>
    <t>КолМножитель</t>
  </si>
  <si>
    <t>Прайс и заказ</t>
  </si>
  <si>
    <t>Q</t>
  </si>
  <si>
    <t>K</t>
  </si>
  <si>
    <t>I</t>
  </si>
  <si>
    <t>R</t>
  </si>
  <si>
    <t>Ваш заказ</t>
  </si>
  <si>
    <t>L</t>
  </si>
  <si>
    <t>G</t>
  </si>
  <si>
    <t>F</t>
  </si>
</sst>
</file>

<file path=xl/styles.xml><?xml version="1.0" encoding="utf-8"?>
<styleSheet xmlns="http://schemas.openxmlformats.org/spreadsheetml/2006/main" xml:space="preserve">
  <numFmts count="1">
    <numFmt numFmtId="164" formatCode="#,##0.00\ &quot;₽&quot;"/>
  </numFmts>
  <fonts count="16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E8E9EA"/>
      <name val="Arial"/>
    </font>
    <font>
      <b val="0"/>
      <i val="0"/>
      <strike val="0"/>
      <u val="none"/>
      <sz val="9"/>
      <color rgb="FF5D6065"/>
      <name val="Arial"/>
    </font>
    <font>
      <b val="1"/>
      <i val="0"/>
      <strike val="0"/>
      <u val="none"/>
      <sz val="9.5"/>
      <color rgb="FF000000"/>
      <name val="Arial"/>
    </font>
    <font>
      <b val="1"/>
      <i val="0"/>
      <strike val="0"/>
      <u val="none"/>
      <sz val="10.5"/>
      <color rgb="FF000000"/>
      <name val="Arial"/>
    </font>
    <font>
      <b val="1"/>
      <i val="0"/>
      <strike val="0"/>
      <u val="none"/>
      <sz val="9.5"/>
      <color rgb="FFFFFFFF"/>
      <name val="Arial"/>
    </font>
    <font>
      <b val="0"/>
      <i val="0"/>
      <strike val="0"/>
      <u val="single"/>
      <sz val="10"/>
      <color rgb="FF913B58"/>
      <name val="Arial"/>
    </font>
    <font>
      <b val="1"/>
      <i val="0"/>
      <strike val="0"/>
      <u val="none"/>
      <sz val="10.5"/>
      <color rgb="FF913B58"/>
      <name val="Arial"/>
    </font>
    <font>
      <b val="1"/>
      <i val="0"/>
      <strike val="0"/>
      <u val="single"/>
      <sz val="10.5"/>
      <color rgb="FF913B58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913B58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0"/>
      <i val="0"/>
      <strike val="0"/>
      <u val="none"/>
      <sz val="9.5"/>
      <color rgb="FF5D6065"/>
      <name val="Arial"/>
    </font>
    <font>
      <b val="0"/>
      <i val="1"/>
      <strike val="0"/>
      <u val="none"/>
      <sz val="9"/>
      <color rgb="FF5D6065"/>
      <name val="Arial"/>
    </font>
  </fonts>
  <fills count="6">
    <fill>
      <patternFill patternType="none"/>
    </fill>
    <fill>
      <patternFill patternType="gray125"/>
    </fill>
    <fill>
      <patternFill patternType="solid">
        <fgColor rgb="FF393C41"/>
        <bgColor rgb="FF000000"/>
      </patternFill>
    </fill>
    <fill>
      <patternFill patternType="solid">
        <fgColor rgb="FFF3DEE5"/>
        <bgColor rgb="FF000000"/>
      </patternFill>
    </fill>
    <fill>
      <patternFill patternType="solid">
        <fgColor rgb="FFF5E5EC"/>
        <bgColor rgb="FF000000"/>
      </patternFill>
    </fill>
    <fill>
      <patternFill patternType="solid">
        <fgColor rgb="FFFFF9E6"/>
        <bgColor rgb="FF000000"/>
      </patternFill>
    </fill>
  </fills>
  <borders count="14">
    <border>
      <left/>
      <right/>
      <top/>
      <bottom/>
      <diagonal/>
    </border>
    <border>
      <left style="thin">
        <color rgb="FFE5E4E0"/>
      </left>
      <right/>
      <top style="thin">
        <color rgb="FFE5E4E0"/>
      </top>
      <bottom/>
      <diagonal/>
    </border>
    <border>
      <left style="thin">
        <color rgb="FFE5E4E0"/>
      </left>
      <right/>
      <top/>
      <bottom/>
      <diagonal/>
    </border>
    <border>
      <left style="thin">
        <color rgb="FFE5E4E0"/>
      </left>
      <right/>
      <top/>
      <bottom style="thin">
        <color rgb="FFE5E4E0"/>
      </bottom>
      <diagonal/>
    </border>
    <border>
      <left/>
      <right/>
      <top style="thin">
        <color rgb="FFE5E4E0"/>
      </top>
      <bottom/>
      <diagonal/>
    </border>
    <border>
      <left/>
      <right/>
      <top/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/>
      <diagonal/>
    </border>
    <border>
      <left/>
      <right style="thin">
        <color rgb="FFE5E4E0"/>
      </right>
      <top/>
      <bottom/>
      <diagonal/>
    </border>
    <border>
      <left/>
      <right style="thin">
        <color rgb="FFE5E4E0"/>
      </right>
      <top/>
      <bottom style="thin">
        <color rgb="FFE5E4E0"/>
      </bottom>
      <diagonal/>
    </border>
    <border>
      <left style="hair">
        <color rgb="FFE5E4E0"/>
      </left>
      <right style="hair">
        <color rgb="FFE5E4E0"/>
      </right>
      <top style="hair">
        <color rgb="FFE5E4E0"/>
      </top>
      <bottom style="hair">
        <color rgb="FFE5E4E0"/>
      </bottom>
      <diagonal/>
    </border>
    <border>
      <left style="thin">
        <color rgb="FFE5E4E0"/>
      </left>
      <right/>
      <top style="thin">
        <color rgb="FFE5E4E0"/>
      </top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 style="thin">
        <color rgb="FFE5E4E0"/>
      </bottom>
      <diagonal/>
    </border>
    <border>
      <left style="thin">
        <color rgb="FFE5E4E0"/>
      </left>
      <right style="thin">
        <color rgb="FFE5E4E0"/>
      </right>
      <top style="thin">
        <color rgb="FFE5E4E0"/>
      </top>
      <bottom style="thin">
        <color rgb="FFE5E4E0"/>
      </bottom>
      <diagonal/>
    </border>
    <border>
      <left/>
      <right/>
      <top style="thin">
        <color rgb="FFE5E4E0"/>
      </top>
      <bottom style="thin">
        <color rgb="FFE5E4E0"/>
      </bottom>
      <diagonal/>
    </border>
  </borders>
  <cellStyleXfs count="1">
    <xf numFmtId="0" fontId="0" fillId="0" borderId="0"/>
  </cellStyleXfs>
  <cellXfs count="6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 indent="6"/>
    </xf>
    <xf xfId="0" fontId="2" numFmtId="0" fillId="0" borderId="1" applyFont="1" applyNumberFormat="0" applyFill="0" applyBorder="1" applyAlignment="1">
      <alignment vertical="center" textRotation="0" wrapText="true" shrinkToFit="false" indent="1"/>
    </xf>
    <xf xfId="0" fontId="2" numFmtId="0" fillId="0" borderId="2" applyFont="1" applyNumberFormat="0" applyFill="0" applyBorder="1" applyAlignment="1">
      <alignment vertical="center" textRotation="0" wrapText="true" shrinkToFit="false" indent="1"/>
    </xf>
    <xf xfId="0" fontId="2" numFmtId="0" fillId="0" borderId="3" applyFont="1" applyNumberFormat="0" applyFill="0" applyBorder="1" applyAlignment="1">
      <alignment vertical="center" textRotation="0" wrapText="true" shrinkToFit="false" indent="1"/>
    </xf>
    <xf xfId="0" fontId="2" numFmtId="0" fillId="0" borderId="4" applyFont="1" applyNumberFormat="0" applyFill="0" applyBorder="1" applyAlignment="1">
      <alignment vertical="center" textRotation="0" wrapText="true" shrinkToFit="false" indent="1"/>
    </xf>
    <xf xfId="0" fontId="2" numFmtId="0" fillId="0" borderId="0" applyFont="1" applyNumberFormat="0" applyFill="0" applyBorder="0" applyAlignment="1">
      <alignment vertical="center" textRotation="0" wrapText="true" shrinkToFit="false" indent="1"/>
    </xf>
    <xf xfId="0" fontId="2" numFmtId="0" fillId="0" borderId="5" applyFont="1" applyNumberFormat="0" applyFill="0" applyBorder="1" applyAlignment="1">
      <alignment vertical="center" textRotation="0" wrapText="true" shrinkToFit="false" indent="1"/>
    </xf>
    <xf xfId="0" fontId="2" numFmtId="0" fillId="0" borderId="6" applyFont="1" applyNumberFormat="0" applyFill="0" applyBorder="1" applyAlignment="1">
      <alignment vertical="center" textRotation="0" wrapText="true" shrinkToFit="false" indent="1"/>
    </xf>
    <xf xfId="0" fontId="2" numFmtId="0" fillId="0" borderId="7" applyFont="1" applyNumberFormat="0" applyFill="0" applyBorder="1" applyAlignment="1">
      <alignment vertical="center" textRotation="0" wrapText="true" shrinkToFit="false" indent="1"/>
    </xf>
    <xf xfId="0" fontId="2" numFmtId="0" fillId="0" borderId="8" applyFont="1" applyNumberFormat="0" applyFill="0" applyBorder="1" applyAlignment="1">
      <alignment vertical="center" textRotation="0" wrapText="true" shrinkToFit="false" indent="1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9" applyFont="0" applyNumberFormat="0" applyFill="0" applyBorder="1" applyAlignment="1">
      <alignment vertical="center" textRotation="0" wrapText="false" shrinkToFit="false"/>
    </xf>
    <xf xfId="0" fontId="0" numFmtId="0" fillId="0" borderId="9" applyFont="0" applyNumberFormat="0" applyFill="0" applyBorder="1" applyAlignment="1">
      <alignment vertical="center" textRotation="0" wrapText="true" shrinkToFit="false"/>
    </xf>
    <xf xfId="0" fontId="6" numFmtId="0" fillId="0" borderId="9" applyFont="1" applyNumberFormat="0" applyFill="0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0" numFmtId="3" fillId="0" borderId="9" applyFont="0" applyNumberFormat="1" applyFill="0" applyBorder="1" applyAlignment="1">
      <alignment horizontal="center" vertical="center" textRotation="0" wrapText="false" shrinkToFit="false"/>
    </xf>
    <xf xfId="0" fontId="0" numFmtId="164" fillId="0" borderId="9" applyFont="0" applyNumberFormat="1" applyFill="0" applyBorder="1" applyAlignment="1">
      <alignment vertical="center" textRotation="0" wrapText="false" shrinkToFit="false"/>
    </xf>
    <xf xfId="0" fontId="0" numFmtId="3" fillId="0" borderId="9" applyFont="0" applyNumberFormat="1" applyFill="0" applyBorder="1" applyAlignment="1">
      <alignment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false" shrinkToFit="false" indent="1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true" shrinkToFit="false" indent="1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3" fillId="3" borderId="9" applyFont="1" applyNumberFormat="1" applyFill="1" applyBorder="1" applyAlignment="1">
      <alignment horizontal="center" vertical="center" textRotation="0" wrapText="false" shrinkToFit="false"/>
    </xf>
    <xf xfId="0" fontId="7" numFmtId="164" fillId="3" borderId="9" applyFont="1" applyNumberFormat="1" applyFill="1" applyBorder="1" applyAlignment="1">
      <alignment vertical="center" textRotation="0" wrapText="false" shrinkToFit="false" indent="1"/>
    </xf>
    <xf xfId="0" fontId="7" numFmtId="3" fillId="3" borderId="9" applyFont="1" applyNumberFormat="1" applyFill="1" applyBorder="1" applyAlignment="1">
      <alignment vertical="center" textRotation="0" wrapText="false" shrinkToFit="false" indent="1"/>
    </xf>
    <xf xfId="0" fontId="9" numFmtId="0" fillId="4" borderId="1" applyFont="1" applyNumberFormat="0" applyFill="1" applyBorder="1" applyAlignment="0"/>
    <xf xfId="0" fontId="9" numFmtId="0" fillId="4" borderId="2" applyFont="1" applyNumberFormat="0" applyFill="1" applyBorder="1" applyAlignment="0"/>
    <xf xfId="0" fontId="9" numFmtId="0" fillId="4" borderId="3" applyFont="1" applyNumberFormat="0" applyFill="1" applyBorder="1" applyAlignment="0"/>
    <xf xfId="0" fontId="0" numFmtId="0" fillId="4" borderId="4" applyFont="0" applyNumberFormat="0" applyFill="1" applyBorder="1" applyAlignment="0"/>
    <xf xfId="0" fontId="0" numFmtId="0" fillId="4" borderId="0" applyFont="0" applyNumberFormat="0" applyFill="1" applyBorder="0" applyAlignment="0"/>
    <xf xfId="0" fontId="0" numFmtId="0" fillId="4" borderId="5" applyFont="0" applyNumberFormat="0" applyFill="1" applyBorder="1" applyAlignment="0"/>
    <xf xfId="0" fontId="0" numFmtId="3" fillId="4" borderId="6" applyFont="0" applyNumberFormat="1" applyFill="1" applyBorder="1" applyAlignment="0"/>
    <xf xfId="0" fontId="0" numFmtId="3" fillId="4" borderId="7" applyFont="0" applyNumberFormat="1" applyFill="1" applyBorder="1" applyAlignment="0"/>
    <xf xfId="0" fontId="9" numFmtId="164" fillId="4" borderId="8" applyFont="1" applyNumberFormat="1" applyFill="1" applyBorder="1" applyAlignment="0"/>
    <xf xfId="0" fontId="10" numFmtId="0" fillId="0" borderId="0" applyFont="1" applyNumberFormat="0" applyFill="0" applyBorder="0" applyAlignment="0"/>
    <xf xfId="0" fontId="11" numFmtId="0" fillId="0" borderId="0" applyFont="1" applyNumberFormat="0" applyFill="0" applyBorder="0" applyAlignment="0"/>
    <xf xfId="0" fontId="0" numFmtId="0" fillId="5" borderId="10" applyFont="0" applyNumberFormat="0" applyFill="1" applyBorder="1" applyAlignment="1" applyProtection="true">
      <alignment vertical="center" textRotation="0" wrapText="false" shrinkToFit="false"/>
      <protection locked="false"/>
    </xf>
    <xf xfId="0" fontId="0" numFmtId="0" fillId="5" borderId="11" applyFont="0" applyNumberFormat="0" applyFill="1" applyBorder="1" applyAlignment="1" applyProtection="true">
      <alignment vertical="center" textRotation="0" wrapText="false" shrinkToFit="false"/>
      <protection locked="false"/>
    </xf>
    <xf xfId="0" fontId="12" numFmtId="0" fillId="5" borderId="1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3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4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5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6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8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7" numFmtId="3" fillId="3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9" numFmtId="3" fillId="5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7" numFmtId="0" fillId="3" borderId="9" applyFont="1" applyNumberFormat="0" applyFill="1" applyBorder="1" applyAlignment="1" applyProtection="true">
      <alignment vertical="center" textRotation="0" wrapText="true" shrinkToFit="false" indent="1"/>
      <protection locked="false"/>
    </xf>
    <xf xfId="0" fontId="0" numFmtId="0" fillId="0" borderId="9" applyFont="0" applyNumberFormat="0" applyFill="0" applyBorder="1" applyAlignment="1" applyProtection="true">
      <alignment vertical="center" textRotation="0" wrapText="true" shrinkToFit="false"/>
      <protection locked="false"/>
    </xf>
    <xf xfId="0" fontId="13" numFmtId="0" fillId="2" borderId="0" applyFont="1" applyNumberFormat="0" applyFill="1" applyBorder="0" applyAlignment="1">
      <alignment vertical="center" textRotation="0" wrapText="false" shrinkToFit="false" indent="6"/>
    </xf>
    <xf xfId="0" fontId="14" numFmtId="0" fillId="0" borderId="0" applyFont="1" applyNumberFormat="0" applyFill="0" applyBorder="0" applyAlignment="1">
      <alignment vertical="center" textRotation="0" wrapText="true" shrinkToFit="false" indent="1"/>
    </xf>
    <xf xfId="0" fontId="9" numFmtId="0" fillId="4" borderId="10" applyFont="1" applyNumberFormat="0" applyFill="1" applyBorder="1" applyAlignment="0"/>
    <xf xfId="0" fontId="0" numFmtId="0" fillId="4" borderId="13" applyFont="0" applyNumberFormat="0" applyFill="1" applyBorder="1" applyAlignment="0"/>
    <xf xfId="0" fontId="0" numFmtId="3" fillId="4" borderId="13" applyFont="0" applyNumberFormat="1" applyFill="1" applyBorder="1" applyAlignment="0"/>
    <xf xfId="0" fontId="9" numFmtId="0" fillId="4" borderId="13" applyFont="1" applyNumberFormat="0" applyFill="1" applyBorder="1" applyAlignment="0"/>
    <xf xfId="0" fontId="9" numFmtId="164" fillId="4" borderId="11" applyFont="1" applyNumberFormat="1" applyFill="1" applyBorder="1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1">
      <alignment vertical="center" textRotation="0" wrapText="false" shrinkToFit="false"/>
    </xf>
    <xf xfId="0" fontId="0" numFmtId="3" fillId="0" borderId="0" applyFont="0" applyNumberFormat="1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15" numFmtId="0" fillId="0" borderId="0" applyFont="1" applyNumberFormat="0" applyFill="0" applyBorder="0" applyAlignment="0"/>
  </cellXfs>
  <cellStyles count="1">
    <cellStyle name="Normal" xfId="0" builtinId="0"/>
  </cellStyles>
  <dxfs count="4">
    <dxf>
      <fill>
        <patternFill patternType="solid">
          <bgColor rgb="FFFFF1C2"/>
        </patternFill>
      </fill>
      <border/>
    </dxf>
    <dxf>
      <fill>
        <patternFill patternType="solid">
          <bgColor rgb="FFF5E5EC"/>
        </patternFill>
      </fill>
      <border/>
    </dxf>
    <dxf>
      <font>
        <color rgb="FFA9590A"/>
      </font>
      <fill>
        <patternFill patternType="solid">
          <bgColor rgb="FFFFF3E0"/>
        </patternFill>
      </fill>
      <border/>
    </dxf>
    <dxf>
      <fill>
        <patternFill patternType="solid">
          <bgColor rgb="FFF5E5EC"/>
        </patternFill>
      </fill>
      <border>
        <left style="hair">
          <color rgb="FFE5E4E0"/>
        </left>
        <right style="hair">
          <color rgb="FFE5E4E0"/>
        </right>
        <top style="hair">
          <color rgb="FFE5E4E0"/>
        </top>
        <bottom style="hair">
          <color rgb="FFE5E4E0"/>
        </bottom>
      </border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Relationship Id="rId2" Type="http://schemas.openxmlformats.org/officeDocument/2006/relationships/image" Target="../media/3365fa67efde70308069913753ec1441.jpg"/><Relationship Id="rId3" Type="http://schemas.openxmlformats.org/officeDocument/2006/relationships/image" Target="../media/3c720d6801de9e9c3e122e7e437facfe.jpg"/><Relationship Id="rId4" Type="http://schemas.openxmlformats.org/officeDocument/2006/relationships/image" Target="../media/c82c048e225ab506b076e7276a21033e.jpg"/><Relationship Id="rId5" Type="http://schemas.openxmlformats.org/officeDocument/2006/relationships/image" Target="../media/434f60b86df73968486f713d6f3ab36c.jpg"/><Relationship Id="rId6" Type="http://schemas.openxmlformats.org/officeDocument/2006/relationships/image" Target="../media/564aca1cbd4de673de813b2b10401fea.jpg"/><Relationship Id="rId7" Type="http://schemas.openxmlformats.org/officeDocument/2006/relationships/image" Target="../media/a31674fbee57bcc18cbb6a2d4411300d.jpg"/><Relationship Id="rId8" Type="http://schemas.openxmlformats.org/officeDocument/2006/relationships/image" Target="../media/33adb4004a25b6a3b8b7485434198fa6.jpg"/><Relationship Id="rId9" Type="http://schemas.openxmlformats.org/officeDocument/2006/relationships/image" Target="../media/81f6fa717c9586287053aa1451bdcb79.jpg"/><Relationship Id="rId10" Type="http://schemas.openxmlformats.org/officeDocument/2006/relationships/image" Target="../media/1a0830527000af117e7aa38c92e61f2d.jpg"/><Relationship Id="rId11" Type="http://schemas.openxmlformats.org/officeDocument/2006/relationships/image" Target="../media/c61040f26618a899b8282c37bc64967f.jpg"/><Relationship Id="rId12" Type="http://schemas.openxmlformats.org/officeDocument/2006/relationships/image" Target="../media/6e221066b513d32afd7da57ff460c6f4.jpg"/><Relationship Id="rId13" Type="http://schemas.openxmlformats.org/officeDocument/2006/relationships/image" Target="../media/5c5c695e6581d4d46ea63cee002d3512.jpg"/><Relationship Id="rId14" Type="http://schemas.openxmlformats.org/officeDocument/2006/relationships/image" Target="../media/a4a86d59606f3b1d9128d79fa196394d.jpg"/><Relationship Id="rId15" Type="http://schemas.openxmlformats.org/officeDocument/2006/relationships/image" Target="../media/c1a979f675f5f347ed6ef189dc32bdd6.jpg"/><Relationship Id="rId16" Type="http://schemas.openxmlformats.org/officeDocument/2006/relationships/image" Target="../media/d07aefafe96ce19aca5b3288ec6cb79a.jpg"/><Relationship Id="rId17" Type="http://schemas.openxmlformats.org/officeDocument/2006/relationships/image" Target="../media/1390037bc5a1d75bf61475d28a532930.jpg"/><Relationship Id="rId18" Type="http://schemas.openxmlformats.org/officeDocument/2006/relationships/image" Target="../media/34857bb4583670041ad82f2c26df277c.jpg"/><Relationship Id="rId19" Type="http://schemas.openxmlformats.org/officeDocument/2006/relationships/image" Target="../media/96e95434d5e1253e70d2c04cceb598e1.jpg"/><Relationship Id="rId20" Type="http://schemas.openxmlformats.org/officeDocument/2006/relationships/image" Target="../media/a0dea6f875a927ed658ef6834a8ae221.jpg"/><Relationship Id="rId21" Type="http://schemas.openxmlformats.org/officeDocument/2006/relationships/image" Target="../media/9980cb8b00d000ffe1dd93388ea9eabe.jpg"/><Relationship Id="rId22" Type="http://schemas.openxmlformats.org/officeDocument/2006/relationships/image" Target="../media/547fd8e6737a4e72e130a67aebb7b60e.jpg"/><Relationship Id="rId23" Type="http://schemas.openxmlformats.org/officeDocument/2006/relationships/image" Target="../media/dcf31c54a68960aeb2836fb085315dcd.jpg"/><Relationship Id="rId24" Type="http://schemas.openxmlformats.org/officeDocument/2006/relationships/image" Target="../media/f8e1ef92afe5df4f8d1965e527cca804.jpg"/><Relationship Id="rId25" Type="http://schemas.openxmlformats.org/officeDocument/2006/relationships/image" Target="../media/a35b766cd3d100722ff965b9f0c2757b.jpg"/><Relationship Id="rId26" Type="http://schemas.openxmlformats.org/officeDocument/2006/relationships/image" Target="../media/6ee22d29818c71e4384e38f2324fe687.jpg"/><Relationship Id="rId27" Type="http://schemas.openxmlformats.org/officeDocument/2006/relationships/image" Target="../media/ab6d1e94a4e80621caf8a0f9c2e1b655.jpg"/><Relationship Id="rId28" Type="http://schemas.openxmlformats.org/officeDocument/2006/relationships/image" Target="../media/4da1d45b24c0883ab39445dca02a7d64.jpg"/><Relationship Id="rId29" Type="http://schemas.openxmlformats.org/officeDocument/2006/relationships/image" Target="../media/a75b7f2699b5a4019785562d1de1194a.jpg"/><Relationship Id="rId30" Type="http://schemas.openxmlformats.org/officeDocument/2006/relationships/image" Target="../media/ad21b19a2d91e0785e3b66de352edfeb.jpg"/><Relationship Id="rId31" Type="http://schemas.openxmlformats.org/officeDocument/2006/relationships/image" Target="../media/472ad6cd03abc70a9c4906c230aed1b7.jpg"/><Relationship Id="rId32" Type="http://schemas.openxmlformats.org/officeDocument/2006/relationships/image" Target="../media/ba008ba21989bd71e1be1a742cbbee96.jpg"/><Relationship Id="rId33" Type="http://schemas.openxmlformats.org/officeDocument/2006/relationships/image" Target="../media/b2d17b40de5556af41694795fe7bee99.jpg"/><Relationship Id="rId34" Type="http://schemas.openxmlformats.org/officeDocument/2006/relationships/image" Target="../media/4ad3285c658740b1f52fe3fb0508f469.jpg"/><Relationship Id="rId35" Type="http://schemas.openxmlformats.org/officeDocument/2006/relationships/image" Target="../media/00d03ca4bf9e63e2cc31c156fd079af9.jpg"/><Relationship Id="rId36" Type="http://schemas.openxmlformats.org/officeDocument/2006/relationships/image" Target="../media/297c358f4e361ab9e77d102592ada35f.jpg"/><Relationship Id="rId37" Type="http://schemas.openxmlformats.org/officeDocument/2006/relationships/image" Target="../media/835108b88f7c8859d9903c83ce351c23.jpg"/><Relationship Id="rId38" Type="http://schemas.openxmlformats.org/officeDocument/2006/relationships/image" Target="../media/89fde319e3fea4978daae158739833d9.jpg"/><Relationship Id="rId39" Type="http://schemas.openxmlformats.org/officeDocument/2006/relationships/image" Target="../media/6ae561b59039190bb379718c0097dbd8.jpg"/><Relationship Id="rId40" Type="http://schemas.openxmlformats.org/officeDocument/2006/relationships/image" Target="../media/9c8e6d5dc657c9f69e1c4b357651557c.jpg"/><Relationship Id="rId41" Type="http://schemas.openxmlformats.org/officeDocument/2006/relationships/image" Target="../media/46bbaff3f114ae5e53c7f13e982d2dbb.jpg"/><Relationship Id="rId42" Type="http://schemas.openxmlformats.org/officeDocument/2006/relationships/image" Target="../media/cfc86436759c58cf2182305fa952bda8.jpg"/><Relationship Id="rId43" Type="http://schemas.openxmlformats.org/officeDocument/2006/relationships/image" Target="../media/7f1a847d86524d9be266e229529f818d.jpg"/><Relationship Id="rId44" Type="http://schemas.openxmlformats.org/officeDocument/2006/relationships/image" Target="../media/63d001df014a73d1f944b01ee3ef786f.jpg"/><Relationship Id="rId45" Type="http://schemas.openxmlformats.org/officeDocument/2006/relationships/image" Target="../media/a74e36a3937e1c17cae91076094492c9.jpg"/><Relationship Id="rId46" Type="http://schemas.openxmlformats.org/officeDocument/2006/relationships/image" Target="../media/f531c8f4118e53530a618148ed9ba8a5.jpg"/><Relationship Id="rId47" Type="http://schemas.openxmlformats.org/officeDocument/2006/relationships/image" Target="../media/7c31aa82a08e05af8fde8c9b00e8b2f8.jpg"/><Relationship Id="rId48" Type="http://schemas.openxmlformats.org/officeDocument/2006/relationships/image" Target="../media/3c47f3eb2ab2831471f27b293afbab7d.jpg"/><Relationship Id="rId49" Type="http://schemas.openxmlformats.org/officeDocument/2006/relationships/image" Target="../media/2c8b905ed8feca20d9c921113dddd1d2.jpg"/><Relationship Id="rId50" Type="http://schemas.openxmlformats.org/officeDocument/2006/relationships/image" Target="../media/52da7b94062f960892cbb8dc3dd61ac5.jpg"/><Relationship Id="rId51" Type="http://schemas.openxmlformats.org/officeDocument/2006/relationships/image" Target="../media/f3775d6826e55451a6ebf1f8cd7d0dba.jpg"/><Relationship Id="rId52" Type="http://schemas.openxmlformats.org/officeDocument/2006/relationships/image" Target="../media/8388582823e21e6a928442bfb028352e.jpg"/><Relationship Id="rId53" Type="http://schemas.openxmlformats.org/officeDocument/2006/relationships/image" Target="../media/d9a7026022bf4a3983692bf5af93abc5.jpg"/><Relationship Id="rId54" Type="http://schemas.openxmlformats.org/officeDocument/2006/relationships/image" Target="../media/9060b690d6392c3ffb971fc89ffcaa6a.jpg"/><Relationship Id="rId55" Type="http://schemas.openxmlformats.org/officeDocument/2006/relationships/image" Target="../media/7952ba3957f905e867248bf40c184013.jpg"/><Relationship Id="rId56" Type="http://schemas.openxmlformats.org/officeDocument/2006/relationships/image" Target="../media/624f846e5bf07358d4ee66fbef5be257.jpg"/><Relationship Id="rId57" Type="http://schemas.openxmlformats.org/officeDocument/2006/relationships/image" Target="../media/b416e609e95c1e9584a755ea6ec1160e.jpg"/><Relationship Id="rId58" Type="http://schemas.openxmlformats.org/officeDocument/2006/relationships/image" Target="../media/90705e8a096df9840aa12cf51b497b0a.jpg"/><Relationship Id="rId59" Type="http://schemas.openxmlformats.org/officeDocument/2006/relationships/image" Target="../media/46b9351bbb97fc3912a78803d9ffa407.jpg"/><Relationship Id="rId60" Type="http://schemas.openxmlformats.org/officeDocument/2006/relationships/image" Target="../media/340a7b315674bd0628cbe5657c169d31.jpg"/><Relationship Id="rId61" Type="http://schemas.openxmlformats.org/officeDocument/2006/relationships/image" Target="../media/a22b7145b1fdacc987b860c2623a360f.jpg"/><Relationship Id="rId62" Type="http://schemas.openxmlformats.org/officeDocument/2006/relationships/image" Target="../media/e4c32406cc56f1b18003b00f87deeebc.jpg"/><Relationship Id="rId63" Type="http://schemas.openxmlformats.org/officeDocument/2006/relationships/image" Target="../media/bed646bdd27c71cb7d8550fd65a6a7e0.jpg"/><Relationship Id="rId64" Type="http://schemas.openxmlformats.org/officeDocument/2006/relationships/image" Target="../media/284c64e4290473cdd4f86f8ac5ba2534.jpg"/><Relationship Id="rId65" Type="http://schemas.openxmlformats.org/officeDocument/2006/relationships/image" Target="../media/95df897b0d060f7b79111bdb1c64741a.jpg"/><Relationship Id="rId66" Type="http://schemas.openxmlformats.org/officeDocument/2006/relationships/image" Target="../media/81eaf119397a999532967b16e86f5598.jpg"/><Relationship Id="rId67" Type="http://schemas.openxmlformats.org/officeDocument/2006/relationships/image" Target="../media/08566e5f0711ddb25157e344d2320e28.jpg"/><Relationship Id="rId68" Type="http://schemas.openxmlformats.org/officeDocument/2006/relationships/image" Target="../media/27a293783837f1df690535739c665dc4.jpg"/><Relationship Id="rId69" Type="http://schemas.openxmlformats.org/officeDocument/2006/relationships/image" Target="../media/1a42ad2fb70d2ea4bf04434b437b43d9.jpg"/><Relationship Id="rId70" Type="http://schemas.openxmlformats.org/officeDocument/2006/relationships/image" Target="../media/814d69387c456378a5d5c8965ad0dbc6.jpg"/><Relationship Id="rId71" Type="http://schemas.openxmlformats.org/officeDocument/2006/relationships/image" Target="../media/1b5298c5987bbc7818de828a8404aa93.jpg"/><Relationship Id="rId72" Type="http://schemas.openxmlformats.org/officeDocument/2006/relationships/image" Target="../media/04c2500aba4a0346460e953e03ec080d.jpg"/><Relationship Id="rId73" Type="http://schemas.openxmlformats.org/officeDocument/2006/relationships/image" Target="../media/6e490b9ccc45c37c20dad80b3eb8bb3e.jpg"/><Relationship Id="rId74" Type="http://schemas.openxmlformats.org/officeDocument/2006/relationships/image" Target="../media/5096cb90945041ffe930e0c443cf87e9.jpg"/><Relationship Id="rId75" Type="http://schemas.openxmlformats.org/officeDocument/2006/relationships/image" Target="../media/2b50ca0823953368751da08d4b710c36.jpg"/><Relationship Id="rId76" Type="http://schemas.openxmlformats.org/officeDocument/2006/relationships/image" Target="../media/e21f9544585cb9914cfd1b7cde998c64.jpg"/><Relationship Id="rId77" Type="http://schemas.openxmlformats.org/officeDocument/2006/relationships/image" Target="../media/e45c10776baae466d7fc9db6436570dd.jpg"/><Relationship Id="rId78" Type="http://schemas.openxmlformats.org/officeDocument/2006/relationships/image" Target="../media/a3991c7e14a39870a2fabc523741102d.jpg"/><Relationship Id="rId79" Type="http://schemas.openxmlformats.org/officeDocument/2006/relationships/image" Target="../media/8c37707dfb937ce69c2919e5cb77e56e.jpg"/><Relationship Id="rId80" Type="http://schemas.openxmlformats.org/officeDocument/2006/relationships/image" Target="../media/6d5ce3741f087877c8b69ae735716fc9.jpg"/><Relationship Id="rId81" Type="http://schemas.openxmlformats.org/officeDocument/2006/relationships/image" Target="../media/cf6ddfe62e45d735a1a9829e2b3cd08c.jpg"/><Relationship Id="rId82" Type="http://schemas.openxmlformats.org/officeDocument/2006/relationships/image" Target="../media/07d94838e32d5a6d6aa9320a8b5c7319.jpg"/><Relationship Id="rId83" Type="http://schemas.openxmlformats.org/officeDocument/2006/relationships/image" Target="../media/725b56219ebb28f85138c0d8f0eed71e.jpg"/><Relationship Id="rId84" Type="http://schemas.openxmlformats.org/officeDocument/2006/relationships/image" Target="../media/1efec7dc1ee273a3ad731e7e48c670b2.jpg"/><Relationship Id="rId85" Type="http://schemas.openxmlformats.org/officeDocument/2006/relationships/image" Target="../media/ee38380f904e18ab1b452643046f2d1e.jpg"/><Relationship Id="rId86" Type="http://schemas.openxmlformats.org/officeDocument/2006/relationships/image" Target="../media/488d3e276bb58c849e2b2ece7e108d7e.jpg"/><Relationship Id="rId87" Type="http://schemas.openxmlformats.org/officeDocument/2006/relationships/image" Target="../media/476ddf4b818ab4ad4473746cc5d2bd36.jpg"/><Relationship Id="rId88" Type="http://schemas.openxmlformats.org/officeDocument/2006/relationships/image" Target="../media/3d53c88957acea15062f88d7766b48aa.jpg"/><Relationship Id="rId89" Type="http://schemas.openxmlformats.org/officeDocument/2006/relationships/image" Target="../media/55911f24c838d1e4f5686159434bb03f.jpg"/><Relationship Id="rId90" Type="http://schemas.openxmlformats.org/officeDocument/2006/relationships/image" Target="../media/cefa63a73b09d06d3d528c87c4c64fc3.jpg"/><Relationship Id="rId91" Type="http://schemas.openxmlformats.org/officeDocument/2006/relationships/image" Target="../media/35c27288deac9974c7469818d30f139d.jpg"/><Relationship Id="rId92" Type="http://schemas.openxmlformats.org/officeDocument/2006/relationships/image" Target="../media/7d472534c444917390c4c8d762c907a3.jpg"/><Relationship Id="rId93" Type="http://schemas.openxmlformats.org/officeDocument/2006/relationships/image" Target="../media/de0710b12a2a9295dc0f680e34369da4.jpg"/><Relationship Id="rId94" Type="http://schemas.openxmlformats.org/officeDocument/2006/relationships/image" Target="../media/cb54e939515cbcde365ee06384d50cb1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752475" cy="209550"/>
    <xdr:pic>
      <xdr:nvPicPr>
        <xdr:cNvPr id="1" name="brand_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</xdr:row>
      <xdr:rowOff>38100</xdr:rowOff>
    </xdr:from>
    <xdr:ext cx="647700" cy="647700"/>
    <xdr:pic>
      <xdr:nvPicPr>
        <xdr:cNvPr id="2" name="photo_8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</xdr:row>
      <xdr:rowOff>38100</xdr:rowOff>
    </xdr:from>
    <xdr:ext cx="647700" cy="647700"/>
    <xdr:pic>
      <xdr:nvPicPr>
        <xdr:cNvPr id="3" name="photo_9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</xdr:row>
      <xdr:rowOff>38100</xdr:rowOff>
    </xdr:from>
    <xdr:ext cx="647700" cy="647700"/>
    <xdr:pic>
      <xdr:nvPicPr>
        <xdr:cNvPr id="4" name="photo_10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</xdr:row>
      <xdr:rowOff>38100</xdr:rowOff>
    </xdr:from>
    <xdr:ext cx="647700" cy="647700"/>
    <xdr:pic>
      <xdr:nvPicPr>
        <xdr:cNvPr id="5" name="photo_11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</xdr:row>
      <xdr:rowOff>38100</xdr:rowOff>
    </xdr:from>
    <xdr:ext cx="647700" cy="647700"/>
    <xdr:pic>
      <xdr:nvPicPr>
        <xdr:cNvPr id="6" name="photo_12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</xdr:row>
      <xdr:rowOff>38100</xdr:rowOff>
    </xdr:from>
    <xdr:ext cx="647700" cy="647700"/>
    <xdr:pic>
      <xdr:nvPicPr>
        <xdr:cNvPr id="7" name="photo_13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</xdr:row>
      <xdr:rowOff>38100</xdr:rowOff>
    </xdr:from>
    <xdr:ext cx="647700" cy="647700"/>
    <xdr:pic>
      <xdr:nvPicPr>
        <xdr:cNvPr id="8" name="photo_14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</xdr:row>
      <xdr:rowOff>38100</xdr:rowOff>
    </xdr:from>
    <xdr:ext cx="647700" cy="647700"/>
    <xdr:pic>
      <xdr:nvPicPr>
        <xdr:cNvPr id="9" name="photo_15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</xdr:row>
      <xdr:rowOff>38100</xdr:rowOff>
    </xdr:from>
    <xdr:ext cx="647700" cy="647700"/>
    <xdr:pic>
      <xdr:nvPicPr>
        <xdr:cNvPr id="10" name="photo_16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</xdr:row>
      <xdr:rowOff>38100</xdr:rowOff>
    </xdr:from>
    <xdr:ext cx="647700" cy="647700"/>
    <xdr:pic>
      <xdr:nvPicPr>
        <xdr:cNvPr id="11" name="photo_17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</xdr:row>
      <xdr:rowOff>38100</xdr:rowOff>
    </xdr:from>
    <xdr:ext cx="647700" cy="647700"/>
    <xdr:pic>
      <xdr:nvPicPr>
        <xdr:cNvPr id="12" name="photo_18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</xdr:row>
      <xdr:rowOff>38100</xdr:rowOff>
    </xdr:from>
    <xdr:ext cx="647700" cy="647700"/>
    <xdr:pic>
      <xdr:nvPicPr>
        <xdr:cNvPr id="13" name="photo_19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</xdr:row>
      <xdr:rowOff>38100</xdr:rowOff>
    </xdr:from>
    <xdr:ext cx="647700" cy="647700"/>
    <xdr:pic>
      <xdr:nvPicPr>
        <xdr:cNvPr id="14" name="photo_20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</xdr:row>
      <xdr:rowOff>38100</xdr:rowOff>
    </xdr:from>
    <xdr:ext cx="647700" cy="647700"/>
    <xdr:pic>
      <xdr:nvPicPr>
        <xdr:cNvPr id="15" name="photo_21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</xdr:row>
      <xdr:rowOff>38100</xdr:rowOff>
    </xdr:from>
    <xdr:ext cx="647700" cy="647700"/>
    <xdr:pic>
      <xdr:nvPicPr>
        <xdr:cNvPr id="16" name="photo_22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</xdr:row>
      <xdr:rowOff>38100</xdr:rowOff>
    </xdr:from>
    <xdr:ext cx="647700" cy="647700"/>
    <xdr:pic>
      <xdr:nvPicPr>
        <xdr:cNvPr id="17" name="photo_23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</xdr:row>
      <xdr:rowOff>38100</xdr:rowOff>
    </xdr:from>
    <xdr:ext cx="647700" cy="647700"/>
    <xdr:pic>
      <xdr:nvPicPr>
        <xdr:cNvPr id="18" name="photo_24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</xdr:row>
      <xdr:rowOff>38100</xdr:rowOff>
    </xdr:from>
    <xdr:ext cx="647700" cy="647700"/>
    <xdr:pic>
      <xdr:nvPicPr>
        <xdr:cNvPr id="19" name="photo_25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</xdr:row>
      <xdr:rowOff>38100</xdr:rowOff>
    </xdr:from>
    <xdr:ext cx="647700" cy="647700"/>
    <xdr:pic>
      <xdr:nvPicPr>
        <xdr:cNvPr id="20" name="photo_26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</xdr:row>
      <xdr:rowOff>38100</xdr:rowOff>
    </xdr:from>
    <xdr:ext cx="647700" cy="647700"/>
    <xdr:pic>
      <xdr:nvPicPr>
        <xdr:cNvPr id="21" name="photo_27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</xdr:row>
      <xdr:rowOff>104775</xdr:rowOff>
    </xdr:from>
    <xdr:ext cx="647700" cy="523875"/>
    <xdr:pic>
      <xdr:nvPicPr>
        <xdr:cNvPr id="22" name="photo_28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</xdr:row>
      <xdr:rowOff>104775</xdr:rowOff>
    </xdr:from>
    <xdr:ext cx="647700" cy="523875"/>
    <xdr:pic>
      <xdr:nvPicPr>
        <xdr:cNvPr id="23" name="photo_29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</xdr:row>
      <xdr:rowOff>104775</xdr:rowOff>
    </xdr:from>
    <xdr:ext cx="647700" cy="523875"/>
    <xdr:pic>
      <xdr:nvPicPr>
        <xdr:cNvPr id="24" name="photo_30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</xdr:row>
      <xdr:rowOff>104775</xdr:rowOff>
    </xdr:from>
    <xdr:ext cx="647700" cy="523875"/>
    <xdr:pic>
      <xdr:nvPicPr>
        <xdr:cNvPr id="25" name="photo_31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</xdr:row>
      <xdr:rowOff>104775</xdr:rowOff>
    </xdr:from>
    <xdr:ext cx="647700" cy="523875"/>
    <xdr:pic>
      <xdr:nvPicPr>
        <xdr:cNvPr id="26" name="photo_32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</xdr:row>
      <xdr:rowOff>104775</xdr:rowOff>
    </xdr:from>
    <xdr:ext cx="647700" cy="523875"/>
    <xdr:pic>
      <xdr:nvPicPr>
        <xdr:cNvPr id="27" name="photo_33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</xdr:row>
      <xdr:rowOff>38100</xdr:rowOff>
    </xdr:from>
    <xdr:ext cx="647700" cy="647700"/>
    <xdr:pic>
      <xdr:nvPicPr>
        <xdr:cNvPr id="28" name="photo_34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</xdr:row>
      <xdr:rowOff>38100</xdr:rowOff>
    </xdr:from>
    <xdr:ext cx="647700" cy="647700"/>
    <xdr:pic>
      <xdr:nvPicPr>
        <xdr:cNvPr id="29" name="photo_35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</xdr:row>
      <xdr:rowOff>38100</xdr:rowOff>
    </xdr:from>
    <xdr:ext cx="647700" cy="647700"/>
    <xdr:pic>
      <xdr:nvPicPr>
        <xdr:cNvPr id="30" name="photo_36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</xdr:row>
      <xdr:rowOff>38100</xdr:rowOff>
    </xdr:from>
    <xdr:ext cx="647700" cy="647700"/>
    <xdr:pic>
      <xdr:nvPicPr>
        <xdr:cNvPr id="31" name="photo_37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</xdr:row>
      <xdr:rowOff>38100</xdr:rowOff>
    </xdr:from>
    <xdr:ext cx="647700" cy="647700"/>
    <xdr:pic>
      <xdr:nvPicPr>
        <xdr:cNvPr id="32" name="photo_38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</xdr:row>
      <xdr:rowOff>38100</xdr:rowOff>
    </xdr:from>
    <xdr:ext cx="647700" cy="647700"/>
    <xdr:pic>
      <xdr:nvPicPr>
        <xdr:cNvPr id="33" name="photo_39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</xdr:row>
      <xdr:rowOff>38100</xdr:rowOff>
    </xdr:from>
    <xdr:ext cx="647700" cy="647700"/>
    <xdr:pic>
      <xdr:nvPicPr>
        <xdr:cNvPr id="34" name="photo_40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</xdr:row>
      <xdr:rowOff>38100</xdr:rowOff>
    </xdr:from>
    <xdr:ext cx="647700" cy="647700"/>
    <xdr:pic>
      <xdr:nvPicPr>
        <xdr:cNvPr id="35" name="photo_41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</xdr:row>
      <xdr:rowOff>38100</xdr:rowOff>
    </xdr:from>
    <xdr:ext cx="647700" cy="647700"/>
    <xdr:pic>
      <xdr:nvPicPr>
        <xdr:cNvPr id="36" name="photo_42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</xdr:row>
      <xdr:rowOff>38100</xdr:rowOff>
    </xdr:from>
    <xdr:ext cx="647700" cy="647700"/>
    <xdr:pic>
      <xdr:nvPicPr>
        <xdr:cNvPr id="37" name="photo_43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</xdr:row>
      <xdr:rowOff>38100</xdr:rowOff>
    </xdr:from>
    <xdr:ext cx="647700" cy="647700"/>
    <xdr:pic>
      <xdr:nvPicPr>
        <xdr:cNvPr id="38" name="photo_44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</xdr:row>
      <xdr:rowOff>38100</xdr:rowOff>
    </xdr:from>
    <xdr:ext cx="647700" cy="647700"/>
    <xdr:pic>
      <xdr:nvPicPr>
        <xdr:cNvPr id="39" name="photo_45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</xdr:row>
      <xdr:rowOff>38100</xdr:rowOff>
    </xdr:from>
    <xdr:ext cx="647700" cy="647700"/>
    <xdr:pic>
      <xdr:nvPicPr>
        <xdr:cNvPr id="40" name="photo_46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</xdr:row>
      <xdr:rowOff>38100</xdr:rowOff>
    </xdr:from>
    <xdr:ext cx="647700" cy="647700"/>
    <xdr:pic>
      <xdr:nvPicPr>
        <xdr:cNvPr id="41" name="photo_47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</xdr:row>
      <xdr:rowOff>38100</xdr:rowOff>
    </xdr:from>
    <xdr:ext cx="647700" cy="647700"/>
    <xdr:pic>
      <xdr:nvPicPr>
        <xdr:cNvPr id="42" name="photo_48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</xdr:row>
      <xdr:rowOff>38100</xdr:rowOff>
    </xdr:from>
    <xdr:ext cx="647700" cy="647700"/>
    <xdr:pic>
      <xdr:nvPicPr>
        <xdr:cNvPr id="43" name="photo_49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49</xdr:row>
      <xdr:rowOff>38100</xdr:rowOff>
    </xdr:from>
    <xdr:ext cx="647700" cy="647700"/>
    <xdr:pic>
      <xdr:nvPicPr>
        <xdr:cNvPr id="44" name="photo_50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50</xdr:row>
      <xdr:rowOff>38100</xdr:rowOff>
    </xdr:from>
    <xdr:ext cx="647700" cy="647700"/>
    <xdr:pic>
      <xdr:nvPicPr>
        <xdr:cNvPr id="45" name="photo_51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51</xdr:row>
      <xdr:rowOff>38100</xdr:rowOff>
    </xdr:from>
    <xdr:ext cx="647700" cy="647700"/>
    <xdr:pic>
      <xdr:nvPicPr>
        <xdr:cNvPr id="46" name="photo_52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52</xdr:row>
      <xdr:rowOff>38100</xdr:rowOff>
    </xdr:from>
    <xdr:ext cx="647700" cy="647700"/>
    <xdr:pic>
      <xdr:nvPicPr>
        <xdr:cNvPr id="47" name="photo_53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53</xdr:row>
      <xdr:rowOff>38100</xdr:rowOff>
    </xdr:from>
    <xdr:ext cx="647700" cy="647700"/>
    <xdr:pic>
      <xdr:nvPicPr>
        <xdr:cNvPr id="48" name="photo_54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54</xdr:row>
      <xdr:rowOff>38100</xdr:rowOff>
    </xdr:from>
    <xdr:ext cx="647700" cy="647700"/>
    <xdr:pic>
      <xdr:nvPicPr>
        <xdr:cNvPr id="49" name="photo_55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55</xdr:row>
      <xdr:rowOff>38100</xdr:rowOff>
    </xdr:from>
    <xdr:ext cx="647700" cy="647700"/>
    <xdr:pic>
      <xdr:nvPicPr>
        <xdr:cNvPr id="50" name="photo_56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56</xdr:row>
      <xdr:rowOff>38100</xdr:rowOff>
    </xdr:from>
    <xdr:ext cx="647700" cy="647700"/>
    <xdr:pic>
      <xdr:nvPicPr>
        <xdr:cNvPr id="51" name="photo_57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57</xdr:row>
      <xdr:rowOff>38100</xdr:rowOff>
    </xdr:from>
    <xdr:ext cx="647700" cy="647700"/>
    <xdr:pic>
      <xdr:nvPicPr>
        <xdr:cNvPr id="52" name="photo_58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58</xdr:row>
      <xdr:rowOff>38100</xdr:rowOff>
    </xdr:from>
    <xdr:ext cx="647700" cy="647700"/>
    <xdr:pic>
      <xdr:nvPicPr>
        <xdr:cNvPr id="53" name="photo_59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59</xdr:row>
      <xdr:rowOff>38100</xdr:rowOff>
    </xdr:from>
    <xdr:ext cx="647700" cy="647700"/>
    <xdr:pic>
      <xdr:nvPicPr>
        <xdr:cNvPr id="54" name="photo_60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60</xdr:row>
      <xdr:rowOff>38100</xdr:rowOff>
    </xdr:from>
    <xdr:ext cx="647700" cy="647700"/>
    <xdr:pic>
      <xdr:nvPicPr>
        <xdr:cNvPr id="55" name="photo_61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61</xdr:row>
      <xdr:rowOff>38100</xdr:rowOff>
    </xdr:from>
    <xdr:ext cx="647700" cy="647700"/>
    <xdr:pic>
      <xdr:nvPicPr>
        <xdr:cNvPr id="56" name="photo_62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62</xdr:row>
      <xdr:rowOff>38100</xdr:rowOff>
    </xdr:from>
    <xdr:ext cx="647700" cy="647700"/>
    <xdr:pic>
      <xdr:nvPicPr>
        <xdr:cNvPr id="57" name="photo_63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63</xdr:row>
      <xdr:rowOff>38100</xdr:rowOff>
    </xdr:from>
    <xdr:ext cx="647700" cy="647700"/>
    <xdr:pic>
      <xdr:nvPicPr>
        <xdr:cNvPr id="58" name="photo_64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64</xdr:row>
      <xdr:rowOff>38100</xdr:rowOff>
    </xdr:from>
    <xdr:ext cx="647700" cy="647700"/>
    <xdr:pic>
      <xdr:nvPicPr>
        <xdr:cNvPr id="59" name="photo_65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65</xdr:row>
      <xdr:rowOff>38100</xdr:rowOff>
    </xdr:from>
    <xdr:ext cx="647700" cy="647700"/>
    <xdr:pic>
      <xdr:nvPicPr>
        <xdr:cNvPr id="60" name="photo_66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66</xdr:row>
      <xdr:rowOff>38100</xdr:rowOff>
    </xdr:from>
    <xdr:ext cx="647700" cy="647700"/>
    <xdr:pic>
      <xdr:nvPicPr>
        <xdr:cNvPr id="61" name="photo_67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67</xdr:row>
      <xdr:rowOff>38100</xdr:rowOff>
    </xdr:from>
    <xdr:ext cx="647700" cy="647700"/>
    <xdr:pic>
      <xdr:nvPicPr>
        <xdr:cNvPr id="62" name="photo_68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68</xdr:row>
      <xdr:rowOff>38100</xdr:rowOff>
    </xdr:from>
    <xdr:ext cx="647700" cy="647700"/>
    <xdr:pic>
      <xdr:nvPicPr>
        <xdr:cNvPr id="63" name="photo_69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69</xdr:row>
      <xdr:rowOff>38100</xdr:rowOff>
    </xdr:from>
    <xdr:ext cx="647700" cy="647700"/>
    <xdr:pic>
      <xdr:nvPicPr>
        <xdr:cNvPr id="64" name="photo_70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70</xdr:row>
      <xdr:rowOff>38100</xdr:rowOff>
    </xdr:from>
    <xdr:ext cx="647700" cy="647700"/>
    <xdr:pic>
      <xdr:nvPicPr>
        <xdr:cNvPr id="65" name="photo_71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71</xdr:row>
      <xdr:rowOff>38100</xdr:rowOff>
    </xdr:from>
    <xdr:ext cx="647700" cy="647700"/>
    <xdr:pic>
      <xdr:nvPicPr>
        <xdr:cNvPr id="66" name="photo_72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72</xdr:row>
      <xdr:rowOff>38100</xdr:rowOff>
    </xdr:from>
    <xdr:ext cx="647700" cy="647700"/>
    <xdr:pic>
      <xdr:nvPicPr>
        <xdr:cNvPr id="67" name="photo_73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73</xdr:row>
      <xdr:rowOff>38100</xdr:rowOff>
    </xdr:from>
    <xdr:ext cx="647700" cy="647700"/>
    <xdr:pic>
      <xdr:nvPicPr>
        <xdr:cNvPr id="68" name="photo_74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74</xdr:row>
      <xdr:rowOff>38100</xdr:rowOff>
    </xdr:from>
    <xdr:ext cx="647700" cy="647700"/>
    <xdr:pic>
      <xdr:nvPicPr>
        <xdr:cNvPr id="69" name="photo_75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75</xdr:row>
      <xdr:rowOff>38100</xdr:rowOff>
    </xdr:from>
    <xdr:ext cx="647700" cy="647700"/>
    <xdr:pic>
      <xdr:nvPicPr>
        <xdr:cNvPr id="70" name="photo_76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76</xdr:row>
      <xdr:rowOff>38100</xdr:rowOff>
    </xdr:from>
    <xdr:ext cx="647700" cy="647700"/>
    <xdr:pic>
      <xdr:nvPicPr>
        <xdr:cNvPr id="71" name="photo_77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77</xdr:row>
      <xdr:rowOff>38100</xdr:rowOff>
    </xdr:from>
    <xdr:ext cx="647700" cy="647700"/>
    <xdr:pic>
      <xdr:nvPicPr>
        <xdr:cNvPr id="72" name="photo_78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78</xdr:row>
      <xdr:rowOff>38100</xdr:rowOff>
    </xdr:from>
    <xdr:ext cx="647700" cy="647700"/>
    <xdr:pic>
      <xdr:nvPicPr>
        <xdr:cNvPr id="73" name="photo_79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79</xdr:row>
      <xdr:rowOff>38100</xdr:rowOff>
    </xdr:from>
    <xdr:ext cx="647700" cy="647700"/>
    <xdr:pic>
      <xdr:nvPicPr>
        <xdr:cNvPr id="74" name="photo_80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80</xdr:row>
      <xdr:rowOff>38100</xdr:rowOff>
    </xdr:from>
    <xdr:ext cx="647700" cy="647700"/>
    <xdr:pic>
      <xdr:nvPicPr>
        <xdr:cNvPr id="75" name="photo_81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81</xdr:row>
      <xdr:rowOff>38100</xdr:rowOff>
    </xdr:from>
    <xdr:ext cx="647700" cy="647700"/>
    <xdr:pic>
      <xdr:nvPicPr>
        <xdr:cNvPr id="76" name="photo_82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82</xdr:row>
      <xdr:rowOff>38100</xdr:rowOff>
    </xdr:from>
    <xdr:ext cx="647700" cy="647700"/>
    <xdr:pic>
      <xdr:nvPicPr>
        <xdr:cNvPr id="77" name="photo_83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83</xdr:row>
      <xdr:rowOff>38100</xdr:rowOff>
    </xdr:from>
    <xdr:ext cx="647700" cy="647700"/>
    <xdr:pic>
      <xdr:nvPicPr>
        <xdr:cNvPr id="78" name="photo_84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84</xdr:row>
      <xdr:rowOff>38100</xdr:rowOff>
    </xdr:from>
    <xdr:ext cx="647700" cy="647700"/>
    <xdr:pic>
      <xdr:nvPicPr>
        <xdr:cNvPr id="79" name="photo_85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85</xdr:row>
      <xdr:rowOff>38100</xdr:rowOff>
    </xdr:from>
    <xdr:ext cx="647700" cy="647700"/>
    <xdr:pic>
      <xdr:nvPicPr>
        <xdr:cNvPr id="80" name="photo_86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86</xdr:row>
      <xdr:rowOff>38100</xdr:rowOff>
    </xdr:from>
    <xdr:ext cx="647700" cy="647700"/>
    <xdr:pic>
      <xdr:nvPicPr>
        <xdr:cNvPr id="81" name="photo_87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87</xdr:row>
      <xdr:rowOff>38100</xdr:rowOff>
    </xdr:from>
    <xdr:ext cx="647700" cy="647700"/>
    <xdr:pic>
      <xdr:nvPicPr>
        <xdr:cNvPr id="82" name="photo_88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88</xdr:row>
      <xdr:rowOff>38100</xdr:rowOff>
    </xdr:from>
    <xdr:ext cx="647700" cy="647700"/>
    <xdr:pic>
      <xdr:nvPicPr>
        <xdr:cNvPr id="83" name="photo_89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89</xdr:row>
      <xdr:rowOff>38100</xdr:rowOff>
    </xdr:from>
    <xdr:ext cx="647700" cy="647700"/>
    <xdr:pic>
      <xdr:nvPicPr>
        <xdr:cNvPr id="84" name="photo_90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90</xdr:row>
      <xdr:rowOff>38100</xdr:rowOff>
    </xdr:from>
    <xdr:ext cx="647700" cy="647700"/>
    <xdr:pic>
      <xdr:nvPicPr>
        <xdr:cNvPr id="85" name="photo_91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91</xdr:row>
      <xdr:rowOff>38100</xdr:rowOff>
    </xdr:from>
    <xdr:ext cx="647700" cy="647700"/>
    <xdr:pic>
      <xdr:nvPicPr>
        <xdr:cNvPr id="86" name="photo_92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92</xdr:row>
      <xdr:rowOff>38100</xdr:rowOff>
    </xdr:from>
    <xdr:ext cx="647700" cy="647700"/>
    <xdr:pic>
      <xdr:nvPicPr>
        <xdr:cNvPr id="87" name="photo_93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93</xdr:row>
      <xdr:rowOff>38100</xdr:rowOff>
    </xdr:from>
    <xdr:ext cx="647700" cy="647700"/>
    <xdr:pic>
      <xdr:nvPicPr>
        <xdr:cNvPr id="88" name="photo_94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94</xdr:row>
      <xdr:rowOff>38100</xdr:rowOff>
    </xdr:from>
    <xdr:ext cx="647700" cy="647700"/>
    <xdr:pic>
      <xdr:nvPicPr>
        <xdr:cNvPr id="89" name="photo_95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95</xdr:row>
      <xdr:rowOff>38100</xdr:rowOff>
    </xdr:from>
    <xdr:ext cx="647700" cy="647700"/>
    <xdr:pic>
      <xdr:nvPicPr>
        <xdr:cNvPr id="90" name="photo_96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96</xdr:row>
      <xdr:rowOff>38100</xdr:rowOff>
    </xdr:from>
    <xdr:ext cx="647700" cy="647700"/>
    <xdr:pic>
      <xdr:nvPicPr>
        <xdr:cNvPr id="91" name="photo_97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97</xdr:row>
      <xdr:rowOff>38100</xdr:rowOff>
    </xdr:from>
    <xdr:ext cx="647700" cy="647700"/>
    <xdr:pic>
      <xdr:nvPicPr>
        <xdr:cNvPr id="92" name="photo_98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98</xdr:row>
      <xdr:rowOff>38100</xdr:rowOff>
    </xdr:from>
    <xdr:ext cx="647700" cy="647700"/>
    <xdr:pic>
      <xdr:nvPicPr>
        <xdr:cNvPr id="93" name="photo_99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99</xdr:row>
      <xdr:rowOff>38100</xdr:rowOff>
    </xdr:from>
    <xdr:ext cx="647700" cy="647700"/>
    <xdr:pic>
      <xdr:nvPicPr>
        <xdr:cNvPr id="94" name="photo_100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676275" cy="190500"/>
    <xdr:pic>
      <xdr:nvPicPr>
        <xdr:cNvPr id="1" name="brand_logo_s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lavrpack.ru/catalog/?product=b8ddd166-a8cb-11f0-ab48-22344d083d2c%23c4f24296-a8cb-11f0-ab48-22344d083d2c" TargetMode="External"/><Relationship Id="rId_hyperlink_2" Type="http://schemas.openxmlformats.org/officeDocument/2006/relationships/hyperlink" Target="https://www.lavrpack.ru/catalog/?product=1dae4c2a-63d1-11f0-ab47-22344d083d2c%235f5798a9-63d1-11f0-ab47-22344d083d2c" TargetMode="External"/><Relationship Id="rId_hyperlink_3" Type="http://schemas.openxmlformats.org/officeDocument/2006/relationships/hyperlink" Target="https://www.lavrpack.ru/catalog/?product=1dae4c2a-63d1-11f0-ab47-22344d083d2c%234ab23681-63d1-11f0-ab47-22344d083d2c" TargetMode="External"/><Relationship Id="rId_hyperlink_4" Type="http://schemas.openxmlformats.org/officeDocument/2006/relationships/hyperlink" Target="https://www.lavrpack.ru/catalog/?product=1dae4c2a-63d1-11f0-ab47-22344d083d2c%232cc61a35-63d1-11f0-ab47-22344d083d2c" TargetMode="External"/><Relationship Id="rId_hyperlink_5" Type="http://schemas.openxmlformats.org/officeDocument/2006/relationships/hyperlink" Target="https://www.lavrpack.ru/catalog/?product=1dae4c2a-63d1-11f0-ab47-22344d083d2c%23399adc5b-63d1-11f0-ab47-22344d083d2c" TargetMode="External"/><Relationship Id="rId_hyperlink_6" Type="http://schemas.openxmlformats.org/officeDocument/2006/relationships/hyperlink" Target="https://www.lavrpack.ru/catalog/?product=1dae4c2a-63d1-11f0-ab47-22344d083d2c%235786ae85-63d1-11f0-ab47-22344d083d2c" TargetMode="External"/><Relationship Id="rId_hyperlink_7" Type="http://schemas.openxmlformats.org/officeDocument/2006/relationships/hyperlink" Target="https://www.lavrpack.ru/catalog/?product=1dae4c2a-63d1-11f0-ab47-22344d083d2c%2341b67977-63d1-11f0-ab47-22344d083d2c" TargetMode="External"/><Relationship Id="rId_hyperlink_8" Type="http://schemas.openxmlformats.org/officeDocument/2006/relationships/hyperlink" Target="https://www.lavrpack.ru/catalog/?product=b28d201d-63d6-11f0-ab47-22344d083d2c%23d866616a-63d6-11f0-ab47-22344d083d2c" TargetMode="External"/><Relationship Id="rId_hyperlink_9" Type="http://schemas.openxmlformats.org/officeDocument/2006/relationships/hyperlink" Target="https://www.lavrpack.ru/catalog/?product=b28d201d-63d6-11f0-ab47-22344d083d2c%23d263955b-63d6-11f0-ab47-22344d083d2c" TargetMode="External"/><Relationship Id="rId_hyperlink_10" Type="http://schemas.openxmlformats.org/officeDocument/2006/relationships/hyperlink" Target="https://www.lavrpack.ru/catalog/?product=b28d201d-63d6-11f0-ab47-22344d083d2c%23cb78d8fa-63d6-11f0-ab47-22344d083d2c" TargetMode="External"/><Relationship Id="rId_hyperlink_11" Type="http://schemas.openxmlformats.org/officeDocument/2006/relationships/hyperlink" Target="https://www.lavrpack.ru/catalog/?product=b28d201d-63d6-11f0-ab47-22344d083d2c%23b8e07e90-63d6-11f0-ab47-22344d083d2c" TargetMode="External"/><Relationship Id="rId_hyperlink_12" Type="http://schemas.openxmlformats.org/officeDocument/2006/relationships/hyperlink" Target="https://www.lavrpack.ru/catalog/?product=b28d201d-63d6-11f0-ab47-22344d083d2c%23c56d07dc-63d6-11f0-ab47-22344d083d2c" TargetMode="External"/><Relationship Id="rId_hyperlink_13" Type="http://schemas.openxmlformats.org/officeDocument/2006/relationships/hyperlink" Target="https://www.lavrpack.ru/catalog/?product=450d5698-9cd3-11ef-ab3b-22344d083d2c%23572364f0-9cd3-11ef-ab3b-22344d083d2c" TargetMode="External"/><Relationship Id="rId_hyperlink_14" Type="http://schemas.openxmlformats.org/officeDocument/2006/relationships/hyperlink" Target="https://www.lavrpack.ru/catalog/?product=450d5698-9cd3-11ef-ab3b-22344d083d2c%2364abcf42-9cd3-11ef-ab3b-22344d083d2c" TargetMode="External"/><Relationship Id="rId_hyperlink_15" Type="http://schemas.openxmlformats.org/officeDocument/2006/relationships/hyperlink" Target="https://www.lavrpack.ru/catalog/?product=450d5698-9cd3-11ef-ab3b-22344d083d2c%236adc1383-9cd3-11ef-ab3b-22344d083d2c" TargetMode="External"/><Relationship Id="rId_hyperlink_16" Type="http://schemas.openxmlformats.org/officeDocument/2006/relationships/hyperlink" Target="https://www.lavrpack.ru/catalog/?product=d3720cff-63d3-11f0-ab47-22344d083d2c%23f9f207a0-63d3-11f0-ab47-22344d083d2c" TargetMode="External"/><Relationship Id="rId_hyperlink_17" Type="http://schemas.openxmlformats.org/officeDocument/2006/relationships/hyperlink" Target="https://www.lavrpack.ru/catalog/?product=d3720cff-63d3-11f0-ab47-22344d083d2c%230839bba3-63d4-11f0-ab47-22344d083d2c" TargetMode="External"/><Relationship Id="rId_hyperlink_18" Type="http://schemas.openxmlformats.org/officeDocument/2006/relationships/hyperlink" Target="https://www.lavrpack.ru/catalog/?product=d3720cff-63d3-11f0-ab47-22344d083d2c%2314f15a9c-63d4-11f0-ab47-22344d083d2c" TargetMode="External"/><Relationship Id="rId_hyperlink_19" Type="http://schemas.openxmlformats.org/officeDocument/2006/relationships/hyperlink" Target="https://www.lavrpack.ru/catalog/?product=d3720cff-63d3-11f0-ab47-22344d083d2c%234b7e79a7-63d4-11f0-ab47-22344d083d2c" TargetMode="External"/><Relationship Id="rId_hyperlink_20" Type="http://schemas.openxmlformats.org/officeDocument/2006/relationships/hyperlink" Target="https://www.lavrpack.ru/catalog/?product=d3720cff-63d3-11f0-ab47-22344d083d2c%2300707ac9-63d4-11f0-ab47-22344d083d2c" TargetMode="External"/><Relationship Id="rId_hyperlink_21" Type="http://schemas.openxmlformats.org/officeDocument/2006/relationships/hyperlink" Target="https://www.lavrpack.ru/catalog/?product=95f05f22-92e4-11f0-ab48-22344d083d2c%23c6d2978c-92e4-11f0-ab48-22344d083d2c" TargetMode="External"/><Relationship Id="rId_hyperlink_22" Type="http://schemas.openxmlformats.org/officeDocument/2006/relationships/hyperlink" Target="https://www.lavrpack.ru/catalog/?product=95f05f22-92e4-11f0-ab48-22344d083d2c%23b3a438f6-92e4-11f0-ab48-22344d083d2c" TargetMode="External"/><Relationship Id="rId_hyperlink_23" Type="http://schemas.openxmlformats.org/officeDocument/2006/relationships/hyperlink" Target="https://www.lavrpack.ru/catalog/?product=95f05f22-92e4-11f0-ab48-22344d083d2c%23acd6c158-92e4-11f0-ab48-22344d083d2c" TargetMode="External"/><Relationship Id="rId_hyperlink_24" Type="http://schemas.openxmlformats.org/officeDocument/2006/relationships/hyperlink" Target="https://www.lavrpack.ru/catalog/?product=95f05f22-92e4-11f0-ab48-22344d083d2c%23bf985cf3-92e4-11f0-ab48-22344d083d2c" TargetMode="External"/><Relationship Id="rId_hyperlink_25" Type="http://schemas.openxmlformats.org/officeDocument/2006/relationships/hyperlink" Target="https://www.lavrpack.ru/catalog/?product=95f05f22-92e4-11f0-ab48-22344d083d2c%23a407fa8e-92e4-11f0-ab48-22344d083d2c" TargetMode="External"/><Relationship Id="rId_hyperlink_26" Type="http://schemas.openxmlformats.org/officeDocument/2006/relationships/hyperlink" Target="https://www.lavrpack.ru/catalog/?product=06841901-7f2b-11ec-b73f-0018e40a3af2" TargetMode="External"/><Relationship Id="rId_hyperlink_27" Type="http://schemas.openxmlformats.org/officeDocument/2006/relationships/hyperlink" Target="https://www.lavrpack.ru/catalog/?product=03be191e-d6e7-11ee-a0ad-00e01a6800eb%232d7938eb-d6e7-11ee-a0ad-00e01a6800eb" TargetMode="External"/><Relationship Id="rId_hyperlink_28" Type="http://schemas.openxmlformats.org/officeDocument/2006/relationships/hyperlink" Target="https://www.lavrpack.ru/catalog/?product=03be191e-d6e7-11ee-a0ad-00e01a6800eb%230b65259f-d6e7-11ee-a0ad-00e01a6800eb" TargetMode="External"/><Relationship Id="rId_hyperlink_29" Type="http://schemas.openxmlformats.org/officeDocument/2006/relationships/hyperlink" Target="https://www.lavrpack.ru/catalog/?product=a4ff0ee5-d6e8-11ee-a0ad-00e01a6800eb%23bcca7042-d6e8-11ee-a0ad-00e01a6800eb" TargetMode="External"/><Relationship Id="rId_hyperlink_30" Type="http://schemas.openxmlformats.org/officeDocument/2006/relationships/hyperlink" Target="https://www.lavrpack.ru/catalog/?product=96ce5b91-47f1-11ee-a90e-00e01a6800eb%23f692f784-efee-11ee-9f05-00e01a6800eb" TargetMode="External"/><Relationship Id="rId_hyperlink_31" Type="http://schemas.openxmlformats.org/officeDocument/2006/relationships/hyperlink" Target="https://www.lavrpack.ru/catalog/?product=96ce5b91-47f1-11ee-a90e-00e01a6800eb%230d15dadc-efef-11ee-9f05-00e01a6800eb" TargetMode="External"/><Relationship Id="rId_hyperlink_32" Type="http://schemas.openxmlformats.org/officeDocument/2006/relationships/hyperlink" Target="https://www.lavrpack.ru/catalog/?product=f7bd9b0a-d6ec-11ee-a0ad-00e01a6800eb%2317f0d860-d6ed-11ee-a0ad-00e01a6800eb" TargetMode="External"/><Relationship Id="rId_hyperlink_33" Type="http://schemas.openxmlformats.org/officeDocument/2006/relationships/hyperlink" Target="https://www.lavrpack.ru/catalog/?product=f2cbfd36-adfb-11ed-ba70-00e01a6800eb%236b173590-adfc-11ed-ba70-00e01a6800eb" TargetMode="External"/><Relationship Id="rId_hyperlink_34" Type="http://schemas.openxmlformats.org/officeDocument/2006/relationships/hyperlink" Target="https://www.lavrpack.ru/catalog/?product=9b73f809-d6f0-11ee-a0ad-00e01a6800eb%23aab88b8b-d6f0-11ee-a0ad-00e01a6800eb" TargetMode="External"/><Relationship Id="rId_hyperlink_35" Type="http://schemas.openxmlformats.org/officeDocument/2006/relationships/hyperlink" Target="https://www.lavrpack.ru/catalog/?product=9b73f809-d6f0-11ee-a0ad-00e01a6800eb%23000fa12d-d6f1-11ee-a0ad-00e01a6800eb" TargetMode="External"/><Relationship Id="rId_hyperlink_36" Type="http://schemas.openxmlformats.org/officeDocument/2006/relationships/hyperlink" Target="https://www.lavrpack.ru/catalog/?product=9b73f809-d6f0-11ee-a0ad-00e01a6800eb%23e4b6f228-d6f0-11ee-a0ad-00e01a6800eb" TargetMode="External"/><Relationship Id="rId_hyperlink_37" Type="http://schemas.openxmlformats.org/officeDocument/2006/relationships/hyperlink" Target="https://www.lavrpack.ru/catalog/?product=9b73f809-d6f0-11ee-a0ad-00e01a6800eb%23b108d1e5-d6f0-11ee-a0ad-00e01a6800eb" TargetMode="External"/><Relationship Id="rId_hyperlink_38" Type="http://schemas.openxmlformats.org/officeDocument/2006/relationships/hyperlink" Target="https://www.lavrpack.ru/catalog/?product=4dddd73f-4d00-11f0-ab41-22344d083d2c%23549a6727-4d00-11f0-ab41-22344d083d2c" TargetMode="External"/><Relationship Id="rId_hyperlink_39" Type="http://schemas.openxmlformats.org/officeDocument/2006/relationships/hyperlink" Target="https://www.lavrpack.ru/catalog/?product=4dddd73f-4d00-11f0-ab41-22344d083d2c%23614c8762-4d00-11f0-ab41-22344d083d2c" TargetMode="External"/><Relationship Id="rId_hyperlink_40" Type="http://schemas.openxmlformats.org/officeDocument/2006/relationships/hyperlink" Target="https://www.lavrpack.ru/catalog/?product=4dddd73f-4d00-11f0-ab41-22344d083d2c%2314f9b252-4d02-11f0-ab41-22344d083d2c" TargetMode="External"/><Relationship Id="rId_hyperlink_41" Type="http://schemas.openxmlformats.org/officeDocument/2006/relationships/hyperlink" Target="https://www.lavrpack.ru/catalog/?product=2280902b-63d8-11f0-ab47-22344d083d2c%236adc560c-63d8-11f0-ab47-22344d083d2c" TargetMode="External"/><Relationship Id="rId_hyperlink_42" Type="http://schemas.openxmlformats.org/officeDocument/2006/relationships/hyperlink" Target="https://www.lavrpack.ru/catalog/?product=2280902b-63d8-11f0-ab47-22344d083d2c%2363e53f28-63d8-11f0-ab47-22344d083d2c" TargetMode="External"/><Relationship Id="rId_hyperlink_43" Type="http://schemas.openxmlformats.org/officeDocument/2006/relationships/hyperlink" Target="https://www.lavrpack.ru/catalog/?product=2280902b-63d8-11f0-ab47-22344d083d2c%232f3a6532-63d8-11f0-ab47-22344d083d2c" TargetMode="External"/><Relationship Id="rId_hyperlink_44" Type="http://schemas.openxmlformats.org/officeDocument/2006/relationships/hyperlink" Target="https://www.lavrpack.ru/catalog/?product=2280902b-63d8-11f0-ab47-22344d083d2c%23552bb06b-63d8-11f0-ab47-22344d083d2c" TargetMode="External"/><Relationship Id="rId_hyperlink_45" Type="http://schemas.openxmlformats.org/officeDocument/2006/relationships/hyperlink" Target="https://www.lavrpack.ru/catalog/?product=00c6e28a-63da-11f0-ab47-22344d083d2c%231822d999-63da-11f0-ab47-22344d083d2c" TargetMode="External"/><Relationship Id="rId_hyperlink_46" Type="http://schemas.openxmlformats.org/officeDocument/2006/relationships/hyperlink" Target="https://www.lavrpack.ru/catalog/?product=00c6e28a-63da-11f0-ab47-22344d083d2c%2324ea6099-63da-11f0-ab47-22344d083d2c" TargetMode="External"/><Relationship Id="rId_hyperlink_47" Type="http://schemas.openxmlformats.org/officeDocument/2006/relationships/hyperlink" Target="https://www.lavrpack.ru/catalog/?product=00c6e28a-63da-11f0-ab47-22344d083d2c%232b175c6c-63da-11f0-ab47-22344d083d2c" TargetMode="External"/><Relationship Id="rId_hyperlink_48" Type="http://schemas.openxmlformats.org/officeDocument/2006/relationships/hyperlink" Target="https://www.lavrpack.ru/catalog/?product=00c6e28a-63da-11f0-ab47-22344d083d2c%231e7b4ce1-63da-11f0-ab47-22344d083d2c" TargetMode="External"/><Relationship Id="rId_hyperlink_49" Type="http://schemas.openxmlformats.org/officeDocument/2006/relationships/hyperlink" Target="https://www.lavrpack.ru/catalog/?product=00c6e28a-63da-11f0-ab47-22344d083d2c%2311f3b359-63da-11f0-ab47-22344d083d2c" TargetMode="External"/><Relationship Id="rId_hyperlink_50" Type="http://schemas.openxmlformats.org/officeDocument/2006/relationships/hyperlink" Target="https://www.lavrpack.ru/catalog/?product=00c6e28a-63da-11f0-ab47-22344d083d2c%2309a6d9a1-63da-11f0-ab47-22344d083d2c" TargetMode="External"/><Relationship Id="rId_hyperlink_51" Type="http://schemas.openxmlformats.org/officeDocument/2006/relationships/hyperlink" Target="https://www.lavrpack.ru/catalog/?product=dc099cb5-7fb6-11ee-a8ad-00e01a6800eb%236f7ffbce-7fb7-11ee-a8ad-00e01a6800eb" TargetMode="External"/><Relationship Id="rId_hyperlink_52" Type="http://schemas.openxmlformats.org/officeDocument/2006/relationships/hyperlink" Target="https://www.lavrpack.ru/catalog/?product=dc099cb5-7fb6-11ee-a8ad-00e01a6800eb%23abe5109e-0c35-11ef-9f05-00e01a6800eb" TargetMode="External"/><Relationship Id="rId_hyperlink_53" Type="http://schemas.openxmlformats.org/officeDocument/2006/relationships/hyperlink" Target="https://www.lavrpack.ru/catalog/?product=dc099cb5-7fb6-11ee-a8ad-00e01a6800eb%235ebe8c20-7fb7-11ee-a8ad-00e01a6800eb" TargetMode="External"/><Relationship Id="rId_hyperlink_54" Type="http://schemas.openxmlformats.org/officeDocument/2006/relationships/hyperlink" Target="https://www.lavrpack.ru/catalog/?product=dc099cb5-7fb6-11ee-a8ad-00e01a6800eb%235512f503-7fb7-11ee-a8ad-00e01a6800eb" TargetMode="External"/><Relationship Id="rId_hyperlink_55" Type="http://schemas.openxmlformats.org/officeDocument/2006/relationships/hyperlink" Target="https://www.lavrpack.ru/catalog/?product=dc099cb5-7fb6-11ee-a8ad-00e01a6800eb%23a329e463-0c35-11ef-9f05-00e01a6800eb" TargetMode="External"/><Relationship Id="rId_hyperlink_56" Type="http://schemas.openxmlformats.org/officeDocument/2006/relationships/hyperlink" Target="https://www.lavrpack.ru/catalog/?product=dc099cb5-7fb6-11ee-a8ad-00e01a6800eb%232d6383f2-7fb7-11ee-a8ad-00e01a6800eb" TargetMode="External"/><Relationship Id="rId_hyperlink_57" Type="http://schemas.openxmlformats.org/officeDocument/2006/relationships/hyperlink" Target="https://www.lavrpack.ru/catalog/?product=dc099cb5-7fb6-11ee-a8ad-00e01a6800eb%234096fd97-7fb7-11ee-a8ad-00e01a6800eb" TargetMode="External"/><Relationship Id="rId_hyperlink_58" Type="http://schemas.openxmlformats.org/officeDocument/2006/relationships/hyperlink" Target="https://www.lavrpack.ru/catalog/?product=dc099cb5-7fb6-11ee-a8ad-00e01a6800eb%236702b374-7fb7-11ee-a8ad-00e01a6800eb" TargetMode="External"/><Relationship Id="rId_hyperlink_59" Type="http://schemas.openxmlformats.org/officeDocument/2006/relationships/hyperlink" Target="https://www.lavrpack.ru/catalog/?product=dc099cb5-7fb6-11ee-a8ad-00e01a6800eb%23c6d76471-0c35-11ef-9f05-00e01a6800eb" TargetMode="External"/><Relationship Id="rId_hyperlink_60" Type="http://schemas.openxmlformats.org/officeDocument/2006/relationships/hyperlink" Target="https://www.lavrpack.ru/catalog/?product=2cb008d1-d6f3-11ee-a0ad-00e01a6800eb%235969a3b7-d6f3-11ee-a0ad-00e01a6800eb" TargetMode="External"/><Relationship Id="rId_hyperlink_61" Type="http://schemas.openxmlformats.org/officeDocument/2006/relationships/hyperlink" Target="https://www.lavrpack.ru/catalog/?product=2cb008d1-d6f3-11ee-a0ad-00e01a6800eb%2366bcb79f-d6f3-11ee-a0ad-00e01a6800eb" TargetMode="External"/><Relationship Id="rId_hyperlink_62" Type="http://schemas.openxmlformats.org/officeDocument/2006/relationships/hyperlink" Target="https://www.lavrpack.ru/catalog/?product=d903d913-47ec-11ee-a90e-00e01a6800eb%23f54f02b5-47ec-11ee-a90e-00e01a6800eb" TargetMode="External"/><Relationship Id="rId_hyperlink_63" Type="http://schemas.openxmlformats.org/officeDocument/2006/relationships/hyperlink" Target="https://www.lavrpack.ru/catalog/?product=98f0717d-d6f8-11ee-a0ad-00e01a6800eb%23c7483c09-d6f8-11ee-a0ad-00e01a6800eb" TargetMode="External"/><Relationship Id="rId_hyperlink_64" Type="http://schemas.openxmlformats.org/officeDocument/2006/relationships/hyperlink" Target="https://www.lavrpack.ru/catalog/?product=98f0717d-d6f8-11ee-a0ad-00e01a6800eb%23dc9cd0bb-d6f8-11ee-a0ad-00e01a6800eb" TargetMode="External"/><Relationship Id="rId_hyperlink_65" Type="http://schemas.openxmlformats.org/officeDocument/2006/relationships/hyperlink" Target="https://www.lavrpack.ru/catalog/?product=98f0717d-d6f8-11ee-a0ad-00e01a6800eb%23acfee9ac-d6f8-11ee-a0ad-00e01a6800eb" TargetMode="External"/><Relationship Id="rId_hyperlink_66" Type="http://schemas.openxmlformats.org/officeDocument/2006/relationships/hyperlink" Target="https://www.lavrpack.ru/catalog/?product=98f0717d-d6f8-11ee-a0ad-00e01a6800eb%23a01bb670-d6f8-11ee-a0ad-00e01a6800eb" TargetMode="External"/><Relationship Id="rId_hyperlink_67" Type="http://schemas.openxmlformats.org/officeDocument/2006/relationships/hyperlink" Target="https://www.lavrpack.ru/catalog/?product=98f0717d-d6f8-11ee-a0ad-00e01a6800eb%23a6d257f6-d6f8-11ee-a0ad-00e01a6800eb" TargetMode="External"/><Relationship Id="rId_hyperlink_68" Type="http://schemas.openxmlformats.org/officeDocument/2006/relationships/hyperlink" Target="https://www.lavrpack.ru/catalog/?product=98f0717d-d6f8-11ee-a0ad-00e01a6800eb%23d00a8c2d-d6f8-11ee-a0ad-00e01a6800eb" TargetMode="External"/><Relationship Id="rId_hyperlink_69" Type="http://schemas.openxmlformats.org/officeDocument/2006/relationships/hyperlink" Target="https://www.lavrpack.ru/catalog/?product=98f0717d-d6f8-11ee-a0ad-00e01a6800eb%23f21519e1-d6f8-11ee-a0ad-00e01a6800eb" TargetMode="External"/><Relationship Id="rId_hyperlink_70" Type="http://schemas.openxmlformats.org/officeDocument/2006/relationships/hyperlink" Target="https://www.lavrpack.ru/catalog/?product=98f0717d-d6f8-11ee-a0ad-00e01a6800eb%23c1442181-d6f8-11ee-a0ad-00e01a6800eb" TargetMode="External"/><Relationship Id="rId_hyperlink_71" Type="http://schemas.openxmlformats.org/officeDocument/2006/relationships/hyperlink" Target="https://www.lavrpack.ru/catalog/?product=98f0717d-d6f8-11ee-a0ad-00e01a6800eb%23e4e0f7ea-d6f8-11ee-a0ad-00e01a6800eb" TargetMode="External"/><Relationship Id="rId_hyperlink_72" Type="http://schemas.openxmlformats.org/officeDocument/2006/relationships/hyperlink" Target="https://www.lavrpack.ru/catalog/?product=42d85e30-9dbf-11ef-ab3b-22344d083d2c%23b3acc1d6-9dbf-11ef-ab3b-22344d083d2c" TargetMode="External"/><Relationship Id="rId_hyperlink_73" Type="http://schemas.openxmlformats.org/officeDocument/2006/relationships/hyperlink" Target="https://www.lavrpack.ru/catalog/?product=42d85e30-9dbf-11ef-ab3b-22344d083d2c%23a6dce740-9dbf-11ef-ab3b-22344d083d2c" TargetMode="External"/><Relationship Id="rId_hyperlink_74" Type="http://schemas.openxmlformats.org/officeDocument/2006/relationships/hyperlink" Target="https://www.lavrpack.ru/catalog/?product=42d85e30-9dbf-11ef-ab3b-22344d083d2c%23d79398bf-9dbf-11ef-ab3b-22344d083d2c" TargetMode="External"/><Relationship Id="rId_hyperlink_75" Type="http://schemas.openxmlformats.org/officeDocument/2006/relationships/hyperlink" Target="https://www.lavrpack.ru/catalog/?product=42d85e30-9dbf-11ef-ab3b-22344d083d2c%23068c0861-9dc0-11ef-ab3b-22344d083d2c" TargetMode="External"/><Relationship Id="rId_hyperlink_76" Type="http://schemas.openxmlformats.org/officeDocument/2006/relationships/hyperlink" Target="https://www.lavrpack.ru/catalog/?product=c477b6d5-ae9c-11ed-ba70-00e01a6800eb%232eaf0bd0-ae9d-11ed-ba70-00e01a6800eb" TargetMode="External"/><Relationship Id="rId_hyperlink_77" Type="http://schemas.openxmlformats.org/officeDocument/2006/relationships/hyperlink" Target="https://www.lavrpack.ru/catalog/?product=c477b6d5-ae9c-11ed-ba70-00e01a6800eb%2393b83433-ae9d-11ed-ba70-00e01a6800eb" TargetMode="External"/><Relationship Id="rId_hyperlink_78" Type="http://schemas.openxmlformats.org/officeDocument/2006/relationships/hyperlink" Target="https://www.lavrpack.ru/catalog/?product=c477b6d5-ae9c-11ed-ba70-00e01a6800eb%235a7cfe7b-ae9d-11ed-ba70-00e01a6800eb" TargetMode="External"/><Relationship Id="rId_hyperlink_79" Type="http://schemas.openxmlformats.org/officeDocument/2006/relationships/hyperlink" Target="https://www.lavrpack.ru/catalog/?product=db94fba1-ca5f-11ee-a0ad-00e01a6800eb%23a84a9642-efee-11ee-9f05-00e01a6800eb" TargetMode="External"/><Relationship Id="rId_hyperlink_80" Type="http://schemas.openxmlformats.org/officeDocument/2006/relationships/hyperlink" Target="https://www.lavrpack.ru/catalog/?product=88c65df1-d6f6-11ee-a0ad-00e01a6800eb%233c8eec43-d6f7-11ee-a0ad-00e01a6800eb" TargetMode="External"/><Relationship Id="rId_hyperlink_81" Type="http://schemas.openxmlformats.org/officeDocument/2006/relationships/hyperlink" Target="https://www.lavrpack.ru/catalog/?product=88c65df1-d6f6-11ee-a0ad-00e01a6800eb%23f4eeefef-0924-11ef-9f05-00e01a6800eb" TargetMode="External"/><Relationship Id="rId_hyperlink_82" Type="http://schemas.openxmlformats.org/officeDocument/2006/relationships/hyperlink" Target="https://www.lavrpack.ru/catalog/?product=6c04b392-bcc5-11ed-8100-00e01a6800eb%23b631f979-b6af-11ee-baea-00e01a6800eb" TargetMode="External"/><Relationship Id="rId_hyperlink_83" Type="http://schemas.openxmlformats.org/officeDocument/2006/relationships/hyperlink" Target="https://www.lavrpack.ru/catalog/?product=6c04b392-bcc5-11ed-8100-00e01a6800eb%237f571f0c-bcc5-11ed-8100-00e01a6800eb" TargetMode="External"/><Relationship Id="rId_hyperlink_84" Type="http://schemas.openxmlformats.org/officeDocument/2006/relationships/hyperlink" Target="https://www.lavrpack.ru/catalog/?product=6c04b392-bcc5-11ed-8100-00e01a6800eb%239a8756ad-bcc5-11ed-8100-00e01a6800eb" TargetMode="External"/><Relationship Id="rId_hyperlink_85" Type="http://schemas.openxmlformats.org/officeDocument/2006/relationships/hyperlink" Target="https://www.lavrpack.ru/catalog/?product=6c04b392-bcc5-11ed-8100-00e01a6800eb%23c578ee5b-b6af-11ee-baea-00e01a6800eb" TargetMode="External"/><Relationship Id="rId_hyperlink_86" Type="http://schemas.openxmlformats.org/officeDocument/2006/relationships/hyperlink" Target="https://www.lavrpack.ru/catalog/?product=6c04b392-bcc5-11ed-8100-00e01a6800eb%23b3c60ec4-bcc5-11ed-8100-00e01a6800eb" TargetMode="External"/><Relationship Id="rId_hyperlink_87" Type="http://schemas.openxmlformats.org/officeDocument/2006/relationships/hyperlink" Target="https://www.lavrpack.ru/catalog/?product=6c04b392-bcc5-11ed-8100-00e01a6800eb%23a470d1a1-bcc5-11ed-8100-00e01a6800eb" TargetMode="External"/><Relationship Id="rId_hyperlink_88" Type="http://schemas.openxmlformats.org/officeDocument/2006/relationships/hyperlink" Target="https://www.lavrpack.ru/catalog/?product=6c04b392-bcc5-11ed-8100-00e01a6800eb%23abf8ec3e-bcc5-11ed-8100-00e01a6800eb" TargetMode="External"/><Relationship Id="rId_hyperlink_89" Type="http://schemas.openxmlformats.org/officeDocument/2006/relationships/hyperlink" Target="https://www.lavrpack.ru/catalog/?product=6c04b392-bcc5-11ed-8100-00e01a6800eb%2379955f66-e5d9-11ed-8488-00e01a6800eb" TargetMode="External"/><Relationship Id="rId_hyperlink_90" Type="http://schemas.openxmlformats.org/officeDocument/2006/relationships/hyperlink" Target="https://www.lavrpack.ru/catalog/?product=6c04b392-bcc5-11ed-8100-00e01a6800eb%23a4a89634-b6af-11ee-baea-00e01a6800eb" TargetMode="External"/><Relationship Id="rId_hyperlink_91" Type="http://schemas.openxmlformats.org/officeDocument/2006/relationships/hyperlink" Target="https://www.lavrpack.ru/catalog/?product=6c04b392-bcc5-11ed-8100-00e01a6800eb%2392bef6e8-bcc5-11ed-8100-00e01a6800eb" TargetMode="External"/><Relationship Id="rId_hyperlink_92" Type="http://schemas.openxmlformats.org/officeDocument/2006/relationships/hyperlink" Target="https://www.lavrpack.ru/catalog/?product=6c04b392-bcc5-11ed-8100-00e01a6800eb%238953a4f2-bcc5-11ed-8100-00e01a6800eb" TargetMode="External"/><Relationship Id="rId_hyperlink_93" Type="http://schemas.openxmlformats.org/officeDocument/2006/relationships/hyperlink" Target="https://www.lavrpack.ru/catalog/?product=6c04b392-bcc5-11ed-8100-00e01a6800eb%23d5d9a66b-be72-11ed-8100-00e01a6800eb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R104"/>
  <sheetViews>
    <sheetView tabSelected="1" workbookViewId="0" showGridLines="true" showRowColHeaders="1">
      <pane ySplit="6" activePane="bottomLeft" state="frozen" topLeftCell="A7"/>
      <selection pane="bottomLeft" activeCell="M7" sqref="M7:M100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26" customWidth="true" style="0"/>
    <col min="4" max="4" width="30" customWidth="true" style="0"/>
    <col min="5" max="5" width="21" customWidth="true" style="0"/>
    <col min="6" max="6" width="8" customWidth="true" style="0"/>
    <col min="7" max="7" width="10" customWidth="true" style="0"/>
    <col min="8" max="8" width="11" hidden="true" customWidth="true" style="0"/>
    <col min="9" max="9" width="11" customWidth="true" style="0"/>
    <col min="10" max="10" width="11" customWidth="true" style="0"/>
    <col min="11" max="11" width="11" customWidth="true" style="0"/>
    <col min="12" max="12" width="14" customWidth="true" style="0"/>
    <col min="13" max="13" width="26" customWidth="true" style="0"/>
    <col min="14" max="14" width="9.10" hidden="true" style="0"/>
    <col min="15" max="15" width="9.10" hidden="true" style="0"/>
    <col min="16" max="16" width="9.10" hidden="true" style="0"/>
    <col min="17" max="17" width="9.10" hidden="true" style="0"/>
    <col min="18" max="18" width="9.10" hidden="true" style="0"/>
  </cols>
  <sheetData>
    <row r="1" spans="1:18" customHeight="1" ht="30">
      <c r="A1" s="1" t="s">
        <v>0</v>
      </c>
    </row>
    <row r="2" spans="1:18" customHeight="1" ht="21">
      <c r="A2" s="11" t="s">
        <v>1</v>
      </c>
      <c r="B2" s="41"/>
      <c r="C2" s="42"/>
      <c r="D2" s="12" t="s">
        <v>5</v>
      </c>
      <c r="E2" s="41"/>
      <c r="F2" s="42"/>
      <c r="G2" s="14" t="s">
        <v>12</v>
      </c>
      <c r="H2" s="13"/>
      <c r="I2" s="13"/>
      <c r="J2" s="2" t="s">
        <v>13</v>
      </c>
      <c r="K2" s="5"/>
      <c r="L2" s="8"/>
    </row>
    <row r="3" spans="1:18" customHeight="1" ht="21">
      <c r="A3" s="11" t="s">
        <v>2</v>
      </c>
      <c r="B3" s="41"/>
      <c r="C3" s="42"/>
      <c r="D3" s="12" t="s">
        <v>6</v>
      </c>
      <c r="E3" s="13" t="s">
        <v>7</v>
      </c>
      <c r="F3" s="13"/>
      <c r="G3" s="43"/>
      <c r="H3" s="45"/>
      <c r="I3" s="47"/>
      <c r="J3" s="3"/>
      <c r="K3" s="6"/>
      <c r="L3" s="9"/>
    </row>
    <row r="4" spans="1:18" customHeight="1" ht="21">
      <c r="A4" s="11" t="s">
        <v>3</v>
      </c>
      <c r="B4" s="41"/>
      <c r="C4" s="42"/>
      <c r="D4" s="12" t="s">
        <v>8</v>
      </c>
      <c r="E4" s="13" t="s">
        <v>9</v>
      </c>
      <c r="F4" s="13"/>
      <c r="G4" s="44"/>
      <c r="H4" s="46"/>
      <c r="I4" s="48"/>
      <c r="J4" s="3"/>
      <c r="K4" s="6"/>
      <c r="L4" s="9"/>
    </row>
    <row r="5" spans="1:18" customHeight="1" ht="21">
      <c r="A5" s="11" t="s">
        <v>4</v>
      </c>
      <c r="B5" s="41"/>
      <c r="C5" s="42"/>
      <c r="D5" s="12" t="s">
        <v>10</v>
      </c>
      <c r="E5" s="13" t="s">
        <v>11</v>
      </c>
      <c r="F5" s="13"/>
      <c r="G5" s="39" t="str">
        <f>IF($G$3="","",SUMPRODUCT(--ISNUMBER(SEARCH($G$3,$B$7:$B$100&amp;" "&amp;$C$7:$C$100&amp;" "&amp;$D$7:$D$100&amp;" "&amp;$E$7:$E$100)))&amp;" найдено — совпадения подсвечены")</f>
      </c>
      <c r="J5" s="4"/>
      <c r="K5" s="7"/>
      <c r="L5" s="10"/>
    </row>
    <row r="6" spans="1:18" customHeight="1" ht="30">
      <c r="A6" s="15" t="s">
        <v>14</v>
      </c>
      <c r="B6" s="15" t="s">
        <v>15</v>
      </c>
      <c r="C6" s="15" t="s">
        <v>16</v>
      </c>
      <c r="D6" s="15" t="s">
        <v>17</v>
      </c>
      <c r="E6" s="15" t="s">
        <v>18</v>
      </c>
      <c r="F6" s="15" t="s">
        <v>19</v>
      </c>
      <c r="G6" s="15" t="s">
        <v>20</v>
      </c>
      <c r="H6" s="15"/>
      <c r="I6" s="15" t="s">
        <v>21</v>
      </c>
      <c r="J6" s="15" t="s">
        <v>22</v>
      </c>
      <c r="K6" s="15" t="s">
        <v>23</v>
      </c>
      <c r="L6" s="15" t="s">
        <v>24</v>
      </c>
      <c r="M6" s="15" t="s">
        <v>5</v>
      </c>
      <c r="N6" s="40" t="s">
        <v>345</v>
      </c>
      <c r="P6" s="40" t="s">
        <v>346</v>
      </c>
      <c r="Q6" s="40" t="s">
        <v>347</v>
      </c>
      <c r="R6" s="40" t="s">
        <v>348</v>
      </c>
    </row>
    <row r="7" spans="1:18" customHeight="1" ht="24">
      <c r="A7" s="23" t="s">
        <v>25</v>
      </c>
      <c r="B7" s="24"/>
      <c r="C7" s="25"/>
      <c r="D7" s="25"/>
      <c r="E7" s="25"/>
      <c r="F7" s="26"/>
      <c r="G7" s="27"/>
      <c r="H7" s="28"/>
      <c r="I7" s="28"/>
      <c r="J7" s="29"/>
      <c r="K7" s="49"/>
      <c r="L7" s="28"/>
      <c r="M7" s="51"/>
      <c r="N7" t="str">
        <f>IF(K7&gt;0,COUNTIF($K$7:K7,"&gt;0"),"")</f>
      </c>
    </row>
    <row r="8" spans="1:18" customHeight="1" ht="58">
      <c r="A8" s="16"/>
      <c r="B8" s="18" t="s">
        <v>27</v>
      </c>
      <c r="C8" s="17" t="s">
        <v>28</v>
      </c>
      <c r="D8" s="17" t="s">
        <v>29</v>
      </c>
      <c r="E8" s="17" t="s">
        <v>30</v>
      </c>
      <c r="F8" s="19"/>
      <c r="G8" s="20">
        <v>1.0</v>
      </c>
      <c r="H8" s="21"/>
      <c r="I8" s="21">
        <v>285.0</v>
      </c>
      <c r="J8" s="22">
        <v>50.0</v>
      </c>
      <c r="K8" s="50"/>
      <c r="L8" s="21" t="str">
        <f>IF(K8&gt;0,K8*I8,"")</f>
      </c>
      <c r="M8" s="52"/>
      <c r="N8" t="str">
        <f>IF(K8&gt;0,COUNTIF($K$7:K8,"&gt;0"),"")</f>
      </c>
      <c r="O8" t="s">
        <v>31</v>
      </c>
      <c r="P8" t="s">
        <v>26</v>
      </c>
      <c r="Q8" t="s">
        <v>26</v>
      </c>
    </row>
    <row r="9" spans="1:18" customHeight="1" ht="58">
      <c r="A9" s="16"/>
      <c r="B9" s="18" t="s">
        <v>33</v>
      </c>
      <c r="C9" s="17" t="s">
        <v>34</v>
      </c>
      <c r="D9" s="17" t="s">
        <v>35</v>
      </c>
      <c r="E9" s="17" t="s">
        <v>36</v>
      </c>
      <c r="F9" s="19"/>
      <c r="G9" s="20">
        <v>1.0</v>
      </c>
      <c r="H9" s="21"/>
      <c r="I9" s="21">
        <v>121.0</v>
      </c>
      <c r="J9" s="22">
        <v>746.0</v>
      </c>
      <c r="K9" s="50"/>
      <c r="L9" s="21" t="str">
        <f>IF(K9&gt;0,K9*I9,"")</f>
      </c>
      <c r="M9" s="52"/>
      <c r="N9" t="str">
        <f>IF(K9&gt;0,COUNTIF($K$7:K9,"&gt;0"),"")</f>
      </c>
      <c r="O9" t="s">
        <v>37</v>
      </c>
      <c r="P9" t="s">
        <v>32</v>
      </c>
      <c r="Q9" t="s">
        <v>32</v>
      </c>
    </row>
    <row r="10" spans="1:18" customHeight="1" ht="58">
      <c r="A10" s="16"/>
      <c r="B10" s="18" t="s">
        <v>33</v>
      </c>
      <c r="C10" s="17" t="s">
        <v>34</v>
      </c>
      <c r="D10" s="17" t="s">
        <v>39</v>
      </c>
      <c r="E10" s="17" t="s">
        <v>36</v>
      </c>
      <c r="F10" s="19"/>
      <c r="G10" s="20">
        <v>1.0</v>
      </c>
      <c r="H10" s="21"/>
      <c r="I10" s="21">
        <v>121.0</v>
      </c>
      <c r="J10" s="22">
        <v>679.0</v>
      </c>
      <c r="K10" s="50"/>
      <c r="L10" s="21" t="str">
        <f>IF(K10&gt;0,K10*I10,"")</f>
      </c>
      <c r="M10" s="52"/>
      <c r="N10" t="str">
        <f>IF(K10&gt;0,COUNTIF($K$7:K10,"&gt;0"),"")</f>
      </c>
      <c r="O10" t="s">
        <v>40</v>
      </c>
      <c r="P10" t="s">
        <v>38</v>
      </c>
      <c r="Q10" t="s">
        <v>38</v>
      </c>
    </row>
    <row r="11" spans="1:18" customHeight="1" ht="58">
      <c r="A11" s="16"/>
      <c r="B11" s="18" t="s">
        <v>33</v>
      </c>
      <c r="C11" s="17" t="s">
        <v>34</v>
      </c>
      <c r="D11" s="17" t="s">
        <v>42</v>
      </c>
      <c r="E11" s="17" t="s">
        <v>36</v>
      </c>
      <c r="F11" s="19"/>
      <c r="G11" s="20">
        <v>1.0</v>
      </c>
      <c r="H11" s="21"/>
      <c r="I11" s="21">
        <v>121.0</v>
      </c>
      <c r="J11" s="22">
        <v>933.0</v>
      </c>
      <c r="K11" s="50"/>
      <c r="L11" s="21" t="str">
        <f>IF(K11&gt;0,K11*I11,"")</f>
      </c>
      <c r="M11" s="52"/>
      <c r="N11" t="str">
        <f>IF(K11&gt;0,COUNTIF($K$7:K11,"&gt;0"),"")</f>
      </c>
      <c r="O11" t="s">
        <v>43</v>
      </c>
      <c r="P11" t="s">
        <v>41</v>
      </c>
      <c r="Q11" t="s">
        <v>41</v>
      </c>
    </row>
    <row r="12" spans="1:18" customHeight="1" ht="58">
      <c r="A12" s="16"/>
      <c r="B12" s="18" t="s">
        <v>33</v>
      </c>
      <c r="C12" s="17" t="s">
        <v>34</v>
      </c>
      <c r="D12" s="17" t="s">
        <v>45</v>
      </c>
      <c r="E12" s="17" t="s">
        <v>36</v>
      </c>
      <c r="F12" s="19"/>
      <c r="G12" s="20">
        <v>1.0</v>
      </c>
      <c r="H12" s="21"/>
      <c r="I12" s="21">
        <v>121.0</v>
      </c>
      <c r="J12" s="22">
        <v>776.0</v>
      </c>
      <c r="K12" s="50"/>
      <c r="L12" s="21" t="str">
        <f>IF(K12&gt;0,K12*I12,"")</f>
      </c>
      <c r="M12" s="52"/>
      <c r="N12" t="str">
        <f>IF(K12&gt;0,COUNTIF($K$7:K12,"&gt;0"),"")</f>
      </c>
      <c r="O12" t="s">
        <v>46</v>
      </c>
      <c r="P12" t="s">
        <v>44</v>
      </c>
      <c r="Q12" t="s">
        <v>44</v>
      </c>
    </row>
    <row r="13" spans="1:18" customHeight="1" ht="58">
      <c r="A13" s="16"/>
      <c r="B13" s="18" t="s">
        <v>33</v>
      </c>
      <c r="C13" s="17" t="s">
        <v>34</v>
      </c>
      <c r="D13" s="17" t="s">
        <v>48</v>
      </c>
      <c r="E13" s="17" t="s">
        <v>36</v>
      </c>
      <c r="F13" s="19"/>
      <c r="G13" s="20">
        <v>1.0</v>
      </c>
      <c r="H13" s="21"/>
      <c r="I13" s="21">
        <v>121.0</v>
      </c>
      <c r="J13" s="22">
        <v>898.0</v>
      </c>
      <c r="K13" s="50"/>
      <c r="L13" s="21" t="str">
        <f>IF(K13&gt;0,K13*I13,"")</f>
      </c>
      <c r="M13" s="52"/>
      <c r="N13" t="str">
        <f>IF(K13&gt;0,COUNTIF($K$7:K13,"&gt;0"),"")</f>
      </c>
      <c r="O13" t="s">
        <v>49</v>
      </c>
      <c r="P13" t="s">
        <v>47</v>
      </c>
      <c r="Q13" t="s">
        <v>47</v>
      </c>
    </row>
    <row r="14" spans="1:18" customHeight="1" ht="58">
      <c r="A14" s="16"/>
      <c r="B14" s="18" t="s">
        <v>33</v>
      </c>
      <c r="C14" s="17" t="s">
        <v>34</v>
      </c>
      <c r="D14" s="17" t="s">
        <v>51</v>
      </c>
      <c r="E14" s="17" t="s">
        <v>36</v>
      </c>
      <c r="F14" s="19"/>
      <c r="G14" s="20">
        <v>1.0</v>
      </c>
      <c r="H14" s="21"/>
      <c r="I14" s="21">
        <v>121.0</v>
      </c>
      <c r="J14" s="22">
        <v>1165.0</v>
      </c>
      <c r="K14" s="50"/>
      <c r="L14" s="21" t="str">
        <f>IF(K14&gt;0,K14*I14,"")</f>
      </c>
      <c r="M14" s="52"/>
      <c r="N14" t="str">
        <f>IF(K14&gt;0,COUNTIF($K$7:K14,"&gt;0"),"")</f>
      </c>
      <c r="O14" t="s">
        <v>52</v>
      </c>
      <c r="P14" t="s">
        <v>50</v>
      </c>
      <c r="Q14" t="s">
        <v>50</v>
      </c>
    </row>
    <row r="15" spans="1:18" customHeight="1" ht="58">
      <c r="A15" s="16"/>
      <c r="B15" s="18" t="s">
        <v>54</v>
      </c>
      <c r="C15" s="17" t="s">
        <v>55</v>
      </c>
      <c r="D15" s="17" t="s">
        <v>56</v>
      </c>
      <c r="E15" s="17" t="s">
        <v>57</v>
      </c>
      <c r="F15" s="19"/>
      <c r="G15" s="20">
        <v>1.0</v>
      </c>
      <c r="H15" s="21"/>
      <c r="I15" s="21">
        <v>121.0</v>
      </c>
      <c r="J15" s="22">
        <v>482.0</v>
      </c>
      <c r="K15" s="50"/>
      <c r="L15" s="21" t="str">
        <f>IF(K15&gt;0,K15*I15,"")</f>
      </c>
      <c r="M15" s="52"/>
      <c r="N15" t="str">
        <f>IF(K15&gt;0,COUNTIF($K$7:K15,"&gt;0"),"")</f>
      </c>
      <c r="O15" t="s">
        <v>58</v>
      </c>
      <c r="P15" t="s">
        <v>53</v>
      </c>
      <c r="Q15" t="s">
        <v>53</v>
      </c>
    </row>
    <row r="16" spans="1:18" customHeight="1" ht="58">
      <c r="A16" s="16"/>
      <c r="B16" s="18" t="s">
        <v>54</v>
      </c>
      <c r="C16" s="17" t="s">
        <v>55</v>
      </c>
      <c r="D16" s="17" t="s">
        <v>60</v>
      </c>
      <c r="E16" s="17" t="s">
        <v>57</v>
      </c>
      <c r="F16" s="19"/>
      <c r="G16" s="20">
        <v>1.0</v>
      </c>
      <c r="H16" s="21"/>
      <c r="I16" s="21">
        <v>121.0</v>
      </c>
      <c r="J16" s="22">
        <v>628.0</v>
      </c>
      <c r="K16" s="50"/>
      <c r="L16" s="21" t="str">
        <f>IF(K16&gt;0,K16*I16,"")</f>
      </c>
      <c r="M16" s="52"/>
      <c r="N16" t="str">
        <f>IF(K16&gt;0,COUNTIF($K$7:K16,"&gt;0"),"")</f>
      </c>
      <c r="O16" t="s">
        <v>61</v>
      </c>
      <c r="P16" t="s">
        <v>59</v>
      </c>
      <c r="Q16" t="s">
        <v>59</v>
      </c>
    </row>
    <row r="17" spans="1:18" customHeight="1" ht="58">
      <c r="A17" s="16"/>
      <c r="B17" s="18" t="s">
        <v>54</v>
      </c>
      <c r="C17" s="17" t="s">
        <v>55</v>
      </c>
      <c r="D17" s="17" t="s">
        <v>63</v>
      </c>
      <c r="E17" s="17" t="s">
        <v>57</v>
      </c>
      <c r="F17" s="19"/>
      <c r="G17" s="20">
        <v>1.0</v>
      </c>
      <c r="H17" s="21"/>
      <c r="I17" s="21">
        <v>121.0</v>
      </c>
      <c r="J17" s="22">
        <v>616.0</v>
      </c>
      <c r="K17" s="50"/>
      <c r="L17" s="21" t="str">
        <f>IF(K17&gt;0,K17*I17,"")</f>
      </c>
      <c r="M17" s="52"/>
      <c r="N17" t="str">
        <f>IF(K17&gt;0,COUNTIF($K$7:K17,"&gt;0"),"")</f>
      </c>
      <c r="O17" t="s">
        <v>64</v>
      </c>
      <c r="P17" t="s">
        <v>62</v>
      </c>
      <c r="Q17" t="s">
        <v>62</v>
      </c>
    </row>
    <row r="18" spans="1:18" customHeight="1" ht="58">
      <c r="A18" s="16"/>
      <c r="B18" s="18" t="s">
        <v>54</v>
      </c>
      <c r="C18" s="17" t="s">
        <v>55</v>
      </c>
      <c r="D18" s="17" t="s">
        <v>66</v>
      </c>
      <c r="E18" s="17" t="s">
        <v>57</v>
      </c>
      <c r="F18" s="19"/>
      <c r="G18" s="20">
        <v>1.0</v>
      </c>
      <c r="H18" s="21"/>
      <c r="I18" s="21">
        <v>121.0</v>
      </c>
      <c r="J18" s="22">
        <v>457.0</v>
      </c>
      <c r="K18" s="50"/>
      <c r="L18" s="21" t="str">
        <f>IF(K18&gt;0,K18*I18,"")</f>
      </c>
      <c r="M18" s="52"/>
      <c r="N18" t="str">
        <f>IF(K18&gt;0,COUNTIF($K$7:K18,"&gt;0"),"")</f>
      </c>
      <c r="O18" t="s">
        <v>67</v>
      </c>
      <c r="P18" t="s">
        <v>65</v>
      </c>
      <c r="Q18" t="s">
        <v>65</v>
      </c>
    </row>
    <row r="19" spans="1:18" customHeight="1" ht="58">
      <c r="A19" s="16"/>
      <c r="B19" s="18" t="s">
        <v>54</v>
      </c>
      <c r="C19" s="17" t="s">
        <v>55</v>
      </c>
      <c r="D19" s="17" t="s">
        <v>39</v>
      </c>
      <c r="E19" s="17" t="s">
        <v>57</v>
      </c>
      <c r="F19" s="19"/>
      <c r="G19" s="20">
        <v>1.0</v>
      </c>
      <c r="H19" s="21"/>
      <c r="I19" s="21">
        <v>121.0</v>
      </c>
      <c r="J19" s="22">
        <v>666.0</v>
      </c>
      <c r="K19" s="50"/>
      <c r="L19" s="21" t="str">
        <f>IF(K19&gt;0,K19*I19,"")</f>
      </c>
      <c r="M19" s="52"/>
      <c r="N19" t="str">
        <f>IF(K19&gt;0,COUNTIF($K$7:K19,"&gt;0"),"")</f>
      </c>
      <c r="O19" t="s">
        <v>69</v>
      </c>
      <c r="P19" t="s">
        <v>68</v>
      </c>
      <c r="Q19" t="s">
        <v>68</v>
      </c>
    </row>
    <row r="20" spans="1:18" customHeight="1" ht="58">
      <c r="A20" s="16"/>
      <c r="B20" s="18" t="s">
        <v>71</v>
      </c>
      <c r="C20" s="17" t="s">
        <v>72</v>
      </c>
      <c r="D20" s="17"/>
      <c r="E20" s="17"/>
      <c r="F20" s="19"/>
      <c r="G20" s="20">
        <v>1.0</v>
      </c>
      <c r="H20" s="21"/>
      <c r="I20" s="21">
        <v>99.0</v>
      </c>
      <c r="J20" s="22">
        <v>199.0</v>
      </c>
      <c r="K20" s="50"/>
      <c r="L20" s="21" t="str">
        <f>IF(K20&gt;0,K20*I20,"")</f>
      </c>
      <c r="M20" s="52"/>
      <c r="N20" t="str">
        <f>IF(K20&gt;0,COUNTIF($K$7:K20,"&gt;0"),"")</f>
      </c>
      <c r="O20" t="s">
        <v>73</v>
      </c>
      <c r="P20" t="s">
        <v>70</v>
      </c>
      <c r="Q20" t="s">
        <v>70</v>
      </c>
    </row>
    <row r="21" spans="1:18" customHeight="1" ht="58">
      <c r="A21" s="16"/>
      <c r="B21" s="18" t="s">
        <v>71</v>
      </c>
      <c r="C21" s="17" t="s">
        <v>75</v>
      </c>
      <c r="D21" s="17"/>
      <c r="E21" s="17"/>
      <c r="F21" s="19"/>
      <c r="G21" s="20">
        <v>1.0</v>
      </c>
      <c r="H21" s="21"/>
      <c r="I21" s="21">
        <v>99.0</v>
      </c>
      <c r="J21" s="22">
        <v>516.0</v>
      </c>
      <c r="K21" s="50"/>
      <c r="L21" s="21" t="str">
        <f>IF(K21&gt;0,K21*I21,"")</f>
      </c>
      <c r="M21" s="52"/>
      <c r="N21" t="str">
        <f>IF(K21&gt;0,COUNTIF($K$7:K21,"&gt;0"),"")</f>
      </c>
      <c r="O21" t="s">
        <v>76</v>
      </c>
      <c r="P21" t="s">
        <v>74</v>
      </c>
      <c r="Q21" t="s">
        <v>74</v>
      </c>
    </row>
    <row r="22" spans="1:18" customHeight="1" ht="58">
      <c r="A22" s="16"/>
      <c r="B22" s="18" t="s">
        <v>71</v>
      </c>
      <c r="C22" s="17" t="s">
        <v>78</v>
      </c>
      <c r="D22" s="17"/>
      <c r="E22" s="17"/>
      <c r="F22" s="19"/>
      <c r="G22" s="20">
        <v>1.0</v>
      </c>
      <c r="H22" s="21"/>
      <c r="I22" s="21">
        <v>99.0</v>
      </c>
      <c r="J22" s="22">
        <v>747.0</v>
      </c>
      <c r="K22" s="50"/>
      <c r="L22" s="21" t="str">
        <f>IF(K22&gt;0,K22*I22,"")</f>
      </c>
      <c r="M22" s="52"/>
      <c r="N22" t="str">
        <f>IF(K22&gt;0,COUNTIF($K$7:K22,"&gt;0"),"")</f>
      </c>
      <c r="O22" t="s">
        <v>79</v>
      </c>
      <c r="P22" t="s">
        <v>77</v>
      </c>
      <c r="Q22" t="s">
        <v>77</v>
      </c>
    </row>
    <row r="23" spans="1:18" customHeight="1" ht="58">
      <c r="A23" s="16"/>
      <c r="B23" s="18" t="s">
        <v>81</v>
      </c>
      <c r="C23" s="17" t="s">
        <v>82</v>
      </c>
      <c r="D23" s="17" t="s">
        <v>56</v>
      </c>
      <c r="E23" s="17" t="s">
        <v>36</v>
      </c>
      <c r="F23" s="19"/>
      <c r="G23" s="20">
        <v>1.0</v>
      </c>
      <c r="H23" s="21"/>
      <c r="I23" s="21">
        <v>121.0</v>
      </c>
      <c r="J23" s="22">
        <v>316.0</v>
      </c>
      <c r="K23" s="50"/>
      <c r="L23" s="21" t="str">
        <f>IF(K23&gt;0,K23*I23,"")</f>
      </c>
      <c r="M23" s="52"/>
      <c r="N23" t="str">
        <f>IF(K23&gt;0,COUNTIF($K$7:K23,"&gt;0"),"")</f>
      </c>
      <c r="O23" t="s">
        <v>83</v>
      </c>
      <c r="P23" t="s">
        <v>80</v>
      </c>
      <c r="Q23" t="s">
        <v>80</v>
      </c>
    </row>
    <row r="24" spans="1:18" customHeight="1" ht="58">
      <c r="A24" s="16"/>
      <c r="B24" s="18" t="s">
        <v>81</v>
      </c>
      <c r="C24" s="17" t="s">
        <v>82</v>
      </c>
      <c r="D24" s="17" t="s">
        <v>85</v>
      </c>
      <c r="E24" s="17" t="s">
        <v>36</v>
      </c>
      <c r="F24" s="19"/>
      <c r="G24" s="20">
        <v>1.0</v>
      </c>
      <c r="H24" s="21"/>
      <c r="I24" s="21">
        <v>121.0</v>
      </c>
      <c r="J24" s="22">
        <v>613.0</v>
      </c>
      <c r="K24" s="50"/>
      <c r="L24" s="21" t="str">
        <f>IF(K24&gt;0,K24*I24,"")</f>
      </c>
      <c r="M24" s="52"/>
      <c r="N24" t="str">
        <f>IF(K24&gt;0,COUNTIF($K$7:K24,"&gt;0"),"")</f>
      </c>
      <c r="O24" t="s">
        <v>86</v>
      </c>
      <c r="P24" t="s">
        <v>84</v>
      </c>
      <c r="Q24" t="s">
        <v>84</v>
      </c>
    </row>
    <row r="25" spans="1:18" customHeight="1" ht="58">
      <c r="A25" s="16"/>
      <c r="B25" s="18" t="s">
        <v>81</v>
      </c>
      <c r="C25" s="17" t="s">
        <v>82</v>
      </c>
      <c r="D25" s="17" t="s">
        <v>39</v>
      </c>
      <c r="E25" s="17" t="s">
        <v>36</v>
      </c>
      <c r="F25" s="19"/>
      <c r="G25" s="20">
        <v>1.0</v>
      </c>
      <c r="H25" s="21"/>
      <c r="I25" s="21">
        <v>121.0</v>
      </c>
      <c r="J25" s="22">
        <v>697.0</v>
      </c>
      <c r="K25" s="50"/>
      <c r="L25" s="21" t="str">
        <f>IF(K25&gt;0,K25*I25,"")</f>
      </c>
      <c r="M25" s="52"/>
      <c r="N25" t="str">
        <f>IF(K25&gt;0,COUNTIF($K$7:K25,"&gt;0"),"")</f>
      </c>
      <c r="O25" t="s">
        <v>88</v>
      </c>
      <c r="P25" t="s">
        <v>87</v>
      </c>
      <c r="Q25" t="s">
        <v>87</v>
      </c>
    </row>
    <row r="26" spans="1:18" customHeight="1" ht="58">
      <c r="A26" s="16"/>
      <c r="B26" s="18" t="s">
        <v>81</v>
      </c>
      <c r="C26" s="17" t="s">
        <v>82</v>
      </c>
      <c r="D26" s="17" t="s">
        <v>90</v>
      </c>
      <c r="E26" s="17" t="s">
        <v>36</v>
      </c>
      <c r="F26" s="19"/>
      <c r="G26" s="20">
        <v>1.0</v>
      </c>
      <c r="H26" s="21"/>
      <c r="I26" s="21">
        <v>121.0</v>
      </c>
      <c r="J26" s="22">
        <v>456.0</v>
      </c>
      <c r="K26" s="50"/>
      <c r="L26" s="21" t="str">
        <f>IF(K26&gt;0,K26*I26,"")</f>
      </c>
      <c r="M26" s="52"/>
      <c r="N26" t="str">
        <f>IF(K26&gt;0,COUNTIF($K$7:K26,"&gt;0"),"")</f>
      </c>
      <c r="O26" t="s">
        <v>91</v>
      </c>
      <c r="P26" t="s">
        <v>89</v>
      </c>
      <c r="Q26" t="s">
        <v>89</v>
      </c>
    </row>
    <row r="27" spans="1:18" customHeight="1" ht="58">
      <c r="A27" s="16"/>
      <c r="B27" s="18" t="s">
        <v>81</v>
      </c>
      <c r="C27" s="17" t="s">
        <v>82</v>
      </c>
      <c r="D27" s="17" t="s">
        <v>93</v>
      </c>
      <c r="E27" s="17" t="s">
        <v>36</v>
      </c>
      <c r="F27" s="19"/>
      <c r="G27" s="20">
        <v>1.0</v>
      </c>
      <c r="H27" s="21"/>
      <c r="I27" s="21">
        <v>121.0</v>
      </c>
      <c r="J27" s="22">
        <v>483.0</v>
      </c>
      <c r="K27" s="50"/>
      <c r="L27" s="21" t="str">
        <f>IF(K27&gt;0,K27*I27,"")</f>
      </c>
      <c r="M27" s="52"/>
      <c r="N27" t="str">
        <f>IF(K27&gt;0,COUNTIF($K$7:K27,"&gt;0"),"")</f>
      </c>
      <c r="O27" t="s">
        <v>94</v>
      </c>
      <c r="P27" t="s">
        <v>92</v>
      </c>
      <c r="Q27" t="s">
        <v>92</v>
      </c>
    </row>
    <row r="28" spans="1:18" customHeight="1" ht="58">
      <c r="A28" s="16"/>
      <c r="B28" s="18" t="s">
        <v>96</v>
      </c>
      <c r="C28" s="17" t="s">
        <v>97</v>
      </c>
      <c r="D28" s="17" t="s">
        <v>98</v>
      </c>
      <c r="E28" s="17" t="s">
        <v>36</v>
      </c>
      <c r="F28" s="19"/>
      <c r="G28" s="20">
        <v>1.0</v>
      </c>
      <c r="H28" s="21"/>
      <c r="I28" s="21">
        <v>154.0</v>
      </c>
      <c r="J28" s="22">
        <v>1127.0</v>
      </c>
      <c r="K28" s="50"/>
      <c r="L28" s="21" t="str">
        <f>IF(K28&gt;0,K28*I28,"")</f>
      </c>
      <c r="M28" s="52"/>
      <c r="N28" t="str">
        <f>IF(K28&gt;0,COUNTIF($K$7:K28,"&gt;0"),"")</f>
      </c>
      <c r="O28" t="s">
        <v>99</v>
      </c>
      <c r="P28" t="s">
        <v>95</v>
      </c>
      <c r="Q28" t="s">
        <v>95</v>
      </c>
    </row>
    <row r="29" spans="1:18" customHeight="1" ht="58">
      <c r="A29" s="16"/>
      <c r="B29" s="18" t="s">
        <v>96</v>
      </c>
      <c r="C29" s="17" t="s">
        <v>97</v>
      </c>
      <c r="D29" s="17" t="s">
        <v>101</v>
      </c>
      <c r="E29" s="17" t="s">
        <v>36</v>
      </c>
      <c r="F29" s="19"/>
      <c r="G29" s="20">
        <v>1.0</v>
      </c>
      <c r="H29" s="21"/>
      <c r="I29" s="21">
        <v>154.0</v>
      </c>
      <c r="J29" s="22">
        <v>1155.0</v>
      </c>
      <c r="K29" s="50"/>
      <c r="L29" s="21" t="str">
        <f>IF(K29&gt;0,K29*I29,"")</f>
      </c>
      <c r="M29" s="52"/>
      <c r="N29" t="str">
        <f>IF(K29&gt;0,COUNTIF($K$7:K29,"&gt;0"),"")</f>
      </c>
      <c r="O29" t="s">
        <v>102</v>
      </c>
      <c r="P29" t="s">
        <v>100</v>
      </c>
      <c r="Q29" t="s">
        <v>100</v>
      </c>
    </row>
    <row r="30" spans="1:18" customHeight="1" ht="58">
      <c r="A30" s="16"/>
      <c r="B30" s="18" t="s">
        <v>96</v>
      </c>
      <c r="C30" s="17" t="s">
        <v>97</v>
      </c>
      <c r="D30" s="17" t="s">
        <v>104</v>
      </c>
      <c r="E30" s="17" t="s">
        <v>36</v>
      </c>
      <c r="F30" s="19"/>
      <c r="G30" s="20">
        <v>1.0</v>
      </c>
      <c r="H30" s="21"/>
      <c r="I30" s="21">
        <v>154.0</v>
      </c>
      <c r="J30" s="22">
        <v>1261.0</v>
      </c>
      <c r="K30" s="50"/>
      <c r="L30" s="21" t="str">
        <f>IF(K30&gt;0,K30*I30,"")</f>
      </c>
      <c r="M30" s="52"/>
      <c r="N30" t="str">
        <f>IF(K30&gt;0,COUNTIF($K$7:K30,"&gt;0"),"")</f>
      </c>
      <c r="O30" t="s">
        <v>105</v>
      </c>
      <c r="P30" t="s">
        <v>103</v>
      </c>
      <c r="Q30" t="s">
        <v>103</v>
      </c>
    </row>
    <row r="31" spans="1:18" customHeight="1" ht="58">
      <c r="A31" s="16"/>
      <c r="B31" s="18" t="s">
        <v>96</v>
      </c>
      <c r="C31" s="17" t="s">
        <v>97</v>
      </c>
      <c r="D31" s="17" t="s">
        <v>107</v>
      </c>
      <c r="E31" s="17" t="s">
        <v>36</v>
      </c>
      <c r="F31" s="19"/>
      <c r="G31" s="20">
        <v>1.0</v>
      </c>
      <c r="H31" s="21"/>
      <c r="I31" s="21">
        <v>154.0</v>
      </c>
      <c r="J31" s="22">
        <v>1104.0</v>
      </c>
      <c r="K31" s="50"/>
      <c r="L31" s="21" t="str">
        <f>IF(K31&gt;0,K31*I31,"")</f>
      </c>
      <c r="M31" s="52"/>
      <c r="N31" t="str">
        <f>IF(K31&gt;0,COUNTIF($K$7:K31,"&gt;0"),"")</f>
      </c>
      <c r="O31" t="s">
        <v>108</v>
      </c>
      <c r="P31" t="s">
        <v>106</v>
      </c>
      <c r="Q31" t="s">
        <v>106</v>
      </c>
    </row>
    <row r="32" spans="1:18" customHeight="1" ht="58">
      <c r="A32" s="16"/>
      <c r="B32" s="18" t="s">
        <v>96</v>
      </c>
      <c r="C32" s="17" t="s">
        <v>97</v>
      </c>
      <c r="D32" s="17" t="s">
        <v>110</v>
      </c>
      <c r="E32" s="17" t="s">
        <v>36</v>
      </c>
      <c r="F32" s="19"/>
      <c r="G32" s="20">
        <v>1.0</v>
      </c>
      <c r="H32" s="21"/>
      <c r="I32" s="21">
        <v>154.0</v>
      </c>
      <c r="J32" s="22">
        <v>1146.0</v>
      </c>
      <c r="K32" s="50"/>
      <c r="L32" s="21" t="str">
        <f>IF(K32&gt;0,K32*I32,"")</f>
      </c>
      <c r="M32" s="52"/>
      <c r="N32" t="str">
        <f>IF(K32&gt;0,COUNTIF($K$7:K32,"&gt;0"),"")</f>
      </c>
      <c r="O32" t="s">
        <v>111</v>
      </c>
      <c r="P32" t="s">
        <v>109</v>
      </c>
      <c r="Q32" t="s">
        <v>109</v>
      </c>
    </row>
    <row r="33" spans="1:18" customHeight="1" ht="58">
      <c r="A33" s="16"/>
      <c r="B33" s="18" t="s">
        <v>113</v>
      </c>
      <c r="C33" s="17" t="s">
        <v>114</v>
      </c>
      <c r="D33" s="17" t="s">
        <v>115</v>
      </c>
      <c r="E33" s="17" t="s">
        <v>116</v>
      </c>
      <c r="F33" s="19"/>
      <c r="G33" s="20">
        <v>1.0</v>
      </c>
      <c r="H33" s="21"/>
      <c r="I33" s="21">
        <v>197.0</v>
      </c>
      <c r="J33" s="22">
        <v>35.0</v>
      </c>
      <c r="K33" s="50"/>
      <c r="L33" s="21" t="str">
        <f>IF(K33&gt;0,K33*I33,"")</f>
      </c>
      <c r="M33" s="52"/>
      <c r="N33" t="str">
        <f>IF(K33&gt;0,COUNTIF($K$7:K33,"&gt;0"),"")</f>
      </c>
      <c r="O33" t="s">
        <v>117</v>
      </c>
      <c r="P33" t="s">
        <v>112</v>
      </c>
      <c r="Q33" t="s">
        <v>112</v>
      </c>
    </row>
    <row r="34" spans="1:18" customHeight="1" ht="58">
      <c r="A34" s="16"/>
      <c r="B34" s="18" t="s">
        <v>119</v>
      </c>
      <c r="C34" s="17" t="s">
        <v>120</v>
      </c>
      <c r="D34" s="17" t="s">
        <v>121</v>
      </c>
      <c r="E34" s="17" t="s">
        <v>36</v>
      </c>
      <c r="F34" s="19"/>
      <c r="G34" s="20">
        <v>1.0</v>
      </c>
      <c r="H34" s="21"/>
      <c r="I34" s="21">
        <v>104.0</v>
      </c>
      <c r="J34" s="22">
        <v>234.0</v>
      </c>
      <c r="K34" s="50"/>
      <c r="L34" s="21" t="str">
        <f>IF(K34&gt;0,K34*I34,"")</f>
      </c>
      <c r="M34" s="52"/>
      <c r="N34" t="str">
        <f>IF(K34&gt;0,COUNTIF($K$7:K34,"&gt;0"),"")</f>
      </c>
      <c r="O34" t="s">
        <v>122</v>
      </c>
      <c r="P34" t="s">
        <v>118</v>
      </c>
      <c r="Q34" t="s">
        <v>118</v>
      </c>
    </row>
    <row r="35" spans="1:18" customHeight="1" ht="58">
      <c r="A35" s="16"/>
      <c r="B35" s="18" t="s">
        <v>119</v>
      </c>
      <c r="C35" s="17" t="s">
        <v>120</v>
      </c>
      <c r="D35" s="17" t="s">
        <v>66</v>
      </c>
      <c r="E35" s="17" t="s">
        <v>36</v>
      </c>
      <c r="F35" s="19"/>
      <c r="G35" s="20">
        <v>1.0</v>
      </c>
      <c r="H35" s="21"/>
      <c r="I35" s="21">
        <v>104.0</v>
      </c>
      <c r="J35" s="22">
        <v>212.0</v>
      </c>
      <c r="K35" s="50"/>
      <c r="L35" s="21" t="str">
        <f>IF(K35&gt;0,K35*I35,"")</f>
      </c>
      <c r="M35" s="52"/>
      <c r="N35" t="str">
        <f>IF(K35&gt;0,COUNTIF($K$7:K35,"&gt;0"),"")</f>
      </c>
      <c r="O35" t="s">
        <v>124</v>
      </c>
      <c r="P35" t="s">
        <v>123</v>
      </c>
      <c r="Q35" t="s">
        <v>123</v>
      </c>
    </row>
    <row r="36" spans="1:18" customHeight="1" ht="58">
      <c r="A36" s="16"/>
      <c r="B36" s="18" t="s">
        <v>126</v>
      </c>
      <c r="C36" s="17" t="s">
        <v>127</v>
      </c>
      <c r="D36" s="17" t="s">
        <v>128</v>
      </c>
      <c r="E36" s="17" t="s">
        <v>36</v>
      </c>
      <c r="F36" s="19"/>
      <c r="G36" s="20">
        <v>1.0</v>
      </c>
      <c r="H36" s="21"/>
      <c r="I36" s="21">
        <v>104.0</v>
      </c>
      <c r="J36" s="22">
        <v>59.0</v>
      </c>
      <c r="K36" s="50"/>
      <c r="L36" s="21" t="str">
        <f>IF(K36&gt;0,K36*I36,"")</f>
      </c>
      <c r="M36" s="52"/>
      <c r="N36" t="str">
        <f>IF(K36&gt;0,COUNTIF($K$7:K36,"&gt;0"),"")</f>
      </c>
      <c r="O36" t="s">
        <v>129</v>
      </c>
      <c r="P36" t="s">
        <v>125</v>
      </c>
      <c r="Q36" t="s">
        <v>125</v>
      </c>
    </row>
    <row r="37" spans="1:18" customHeight="1" ht="58">
      <c r="A37" s="16"/>
      <c r="B37" s="18" t="s">
        <v>131</v>
      </c>
      <c r="C37" s="17" t="s">
        <v>132</v>
      </c>
      <c r="D37" s="17" t="s">
        <v>133</v>
      </c>
      <c r="E37" s="17" t="s">
        <v>36</v>
      </c>
      <c r="F37" s="19"/>
      <c r="G37" s="20">
        <v>1.0</v>
      </c>
      <c r="H37" s="21"/>
      <c r="I37" s="21">
        <v>104.0</v>
      </c>
      <c r="J37" s="22">
        <v>39.0</v>
      </c>
      <c r="K37" s="50"/>
      <c r="L37" s="21" t="str">
        <f>IF(K37&gt;0,K37*I37,"")</f>
      </c>
      <c r="M37" s="52"/>
      <c r="N37" t="str">
        <f>IF(K37&gt;0,COUNTIF($K$7:K37,"&gt;0"),"")</f>
      </c>
      <c r="O37" t="s">
        <v>134</v>
      </c>
      <c r="P37" t="s">
        <v>130</v>
      </c>
      <c r="Q37" t="s">
        <v>130</v>
      </c>
    </row>
    <row r="38" spans="1:18" customHeight="1" ht="58">
      <c r="A38" s="16"/>
      <c r="B38" s="18" t="s">
        <v>131</v>
      </c>
      <c r="C38" s="17" t="s">
        <v>132</v>
      </c>
      <c r="D38" s="17" t="s">
        <v>136</v>
      </c>
      <c r="E38" s="17" t="s">
        <v>36</v>
      </c>
      <c r="F38" s="19"/>
      <c r="G38" s="20">
        <v>1.0</v>
      </c>
      <c r="H38" s="21"/>
      <c r="I38" s="21">
        <v>104.0</v>
      </c>
      <c r="J38" s="22">
        <v>159.0</v>
      </c>
      <c r="K38" s="50"/>
      <c r="L38" s="21" t="str">
        <f>IF(K38&gt;0,K38*I38,"")</f>
      </c>
      <c r="M38" s="52"/>
      <c r="N38" t="str">
        <f>IF(K38&gt;0,COUNTIF($K$7:K38,"&gt;0"),"")</f>
      </c>
      <c r="O38" t="s">
        <v>137</v>
      </c>
      <c r="P38" t="s">
        <v>135</v>
      </c>
      <c r="Q38" t="s">
        <v>135</v>
      </c>
    </row>
    <row r="39" spans="1:18" customHeight="1" ht="58">
      <c r="A39" s="16"/>
      <c r="B39" s="18" t="s">
        <v>139</v>
      </c>
      <c r="C39" s="17" t="s">
        <v>140</v>
      </c>
      <c r="D39" s="17" t="s">
        <v>141</v>
      </c>
      <c r="E39" s="17" t="s">
        <v>36</v>
      </c>
      <c r="F39" s="19"/>
      <c r="G39" s="20">
        <v>1.0</v>
      </c>
      <c r="H39" s="21"/>
      <c r="I39" s="21">
        <v>128.0</v>
      </c>
      <c r="J39" s="22">
        <v>168.0</v>
      </c>
      <c r="K39" s="50"/>
      <c r="L39" s="21" t="str">
        <f>IF(K39&gt;0,K39*I39,"")</f>
      </c>
      <c r="M39" s="52"/>
      <c r="N39" t="str">
        <f>IF(K39&gt;0,COUNTIF($K$7:K39,"&gt;0"),"")</f>
      </c>
      <c r="O39" t="s">
        <v>142</v>
      </c>
      <c r="P39" t="s">
        <v>138</v>
      </c>
      <c r="Q39" t="s">
        <v>138</v>
      </c>
    </row>
    <row r="40" spans="1:18" customHeight="1" ht="58">
      <c r="A40" s="16"/>
      <c r="B40" s="18" t="s">
        <v>144</v>
      </c>
      <c r="C40" s="17" t="s">
        <v>145</v>
      </c>
      <c r="D40" s="17" t="s">
        <v>146</v>
      </c>
      <c r="E40" s="17" t="s">
        <v>36</v>
      </c>
      <c r="F40" s="19"/>
      <c r="G40" s="20">
        <v>1.0</v>
      </c>
      <c r="H40" s="21"/>
      <c r="I40" s="21">
        <v>128.0</v>
      </c>
      <c r="J40" s="22">
        <v>13.0</v>
      </c>
      <c r="K40" s="50"/>
      <c r="L40" s="21" t="str">
        <f>IF(K40&gt;0,K40*I40,"")</f>
      </c>
      <c r="M40" s="52"/>
      <c r="N40" t="str">
        <f>IF(K40&gt;0,COUNTIF($K$7:K40,"&gt;0"),"")</f>
      </c>
      <c r="O40" t="s">
        <v>147</v>
      </c>
      <c r="P40" t="s">
        <v>143</v>
      </c>
      <c r="Q40" t="s">
        <v>143</v>
      </c>
    </row>
    <row r="41" spans="1:18" customHeight="1" ht="58">
      <c r="A41" s="16"/>
      <c r="B41" s="18" t="s">
        <v>149</v>
      </c>
      <c r="C41" s="17" t="s">
        <v>150</v>
      </c>
      <c r="D41" s="17" t="s">
        <v>151</v>
      </c>
      <c r="E41" s="17" t="s">
        <v>36</v>
      </c>
      <c r="F41" s="19"/>
      <c r="G41" s="20">
        <v>1.0</v>
      </c>
      <c r="H41" s="21"/>
      <c r="I41" s="21">
        <v>128.0</v>
      </c>
      <c r="J41" s="22">
        <v>11.0</v>
      </c>
      <c r="K41" s="50"/>
      <c r="L41" s="21" t="str">
        <f>IF(K41&gt;0,K41*I41,"")</f>
      </c>
      <c r="M41" s="52"/>
      <c r="N41" t="str">
        <f>IF(K41&gt;0,COUNTIF($K$7:K41,"&gt;0"),"")</f>
      </c>
      <c r="O41" t="s">
        <v>152</v>
      </c>
      <c r="P41" t="s">
        <v>148</v>
      </c>
      <c r="Q41" t="s">
        <v>148</v>
      </c>
    </row>
    <row r="42" spans="1:18" customHeight="1" ht="58">
      <c r="A42" s="16"/>
      <c r="B42" s="18" t="s">
        <v>149</v>
      </c>
      <c r="C42" s="17" t="s">
        <v>150</v>
      </c>
      <c r="D42" s="17" t="s">
        <v>154</v>
      </c>
      <c r="E42" s="17" t="s">
        <v>36</v>
      </c>
      <c r="F42" s="19"/>
      <c r="G42" s="20">
        <v>1.0</v>
      </c>
      <c r="H42" s="21"/>
      <c r="I42" s="21">
        <v>128.0</v>
      </c>
      <c r="J42" s="22">
        <v>57.0</v>
      </c>
      <c r="K42" s="50"/>
      <c r="L42" s="21" t="str">
        <f>IF(K42&gt;0,K42*I42,"")</f>
      </c>
      <c r="M42" s="52"/>
      <c r="N42" t="str">
        <f>IF(K42&gt;0,COUNTIF($K$7:K42,"&gt;0"),"")</f>
      </c>
      <c r="O42" t="s">
        <v>155</v>
      </c>
      <c r="P42" t="s">
        <v>153</v>
      </c>
      <c r="Q42" t="s">
        <v>153</v>
      </c>
    </row>
    <row r="43" spans="1:18" customHeight="1" ht="58">
      <c r="A43" s="16"/>
      <c r="B43" s="18" t="s">
        <v>149</v>
      </c>
      <c r="C43" s="17" t="s">
        <v>150</v>
      </c>
      <c r="D43" s="17" t="s">
        <v>157</v>
      </c>
      <c r="E43" s="17" t="s">
        <v>36</v>
      </c>
      <c r="F43" s="19"/>
      <c r="G43" s="20">
        <v>1.0</v>
      </c>
      <c r="H43" s="21"/>
      <c r="I43" s="21">
        <v>128.0</v>
      </c>
      <c r="J43" s="22">
        <v>8.0</v>
      </c>
      <c r="K43" s="50"/>
      <c r="L43" s="21" t="str">
        <f>IF(K43&gt;0,K43*I43,"")</f>
      </c>
      <c r="M43" s="52"/>
      <c r="N43" t="str">
        <f>IF(K43&gt;0,COUNTIF($K$7:K43,"&gt;0"),"")</f>
      </c>
      <c r="O43" t="s">
        <v>158</v>
      </c>
      <c r="P43" t="s">
        <v>156</v>
      </c>
      <c r="Q43" t="s">
        <v>156</v>
      </c>
    </row>
    <row r="44" spans="1:18" customHeight="1" ht="58">
      <c r="A44" s="16"/>
      <c r="B44" s="18" t="s">
        <v>149</v>
      </c>
      <c r="C44" s="17" t="s">
        <v>150</v>
      </c>
      <c r="D44" s="17" t="s">
        <v>160</v>
      </c>
      <c r="E44" s="17" t="s">
        <v>36</v>
      </c>
      <c r="F44" s="19"/>
      <c r="G44" s="20">
        <v>1.0</v>
      </c>
      <c r="H44" s="21"/>
      <c r="I44" s="21">
        <v>128.0</v>
      </c>
      <c r="J44" s="22">
        <v>89.0</v>
      </c>
      <c r="K44" s="50"/>
      <c r="L44" s="21" t="str">
        <f>IF(K44&gt;0,K44*I44,"")</f>
      </c>
      <c r="M44" s="52"/>
      <c r="N44" t="str">
        <f>IF(K44&gt;0,COUNTIF($K$7:K44,"&gt;0"),"")</f>
      </c>
      <c r="O44" t="s">
        <v>161</v>
      </c>
      <c r="P44" t="s">
        <v>159</v>
      </c>
      <c r="Q44" t="s">
        <v>159</v>
      </c>
    </row>
    <row r="45" spans="1:18" customHeight="1" ht="58">
      <c r="A45" s="16"/>
      <c r="B45" s="18" t="s">
        <v>163</v>
      </c>
      <c r="C45" s="17" t="s">
        <v>164</v>
      </c>
      <c r="D45" s="17" t="s">
        <v>165</v>
      </c>
      <c r="E45" s="17" t="s">
        <v>166</v>
      </c>
      <c r="F45" s="19"/>
      <c r="G45" s="20">
        <v>1.0</v>
      </c>
      <c r="H45" s="21"/>
      <c r="I45" s="21">
        <v>66.0</v>
      </c>
      <c r="J45" s="22">
        <v>52.0</v>
      </c>
      <c r="K45" s="50"/>
      <c r="L45" s="21" t="str">
        <f>IF(K45&gt;0,K45*I45,"")</f>
      </c>
      <c r="M45" s="52"/>
      <c r="N45" t="str">
        <f>IF(K45&gt;0,COUNTIF($K$7:K45,"&gt;0"),"")</f>
      </c>
      <c r="O45" t="s">
        <v>167</v>
      </c>
      <c r="P45" t="s">
        <v>162</v>
      </c>
      <c r="Q45" t="s">
        <v>162</v>
      </c>
    </row>
    <row r="46" spans="1:18" customHeight="1" ht="58">
      <c r="A46" s="16"/>
      <c r="B46" s="18" t="s">
        <v>163</v>
      </c>
      <c r="C46" s="17" t="s">
        <v>164</v>
      </c>
      <c r="D46" s="17" t="s">
        <v>169</v>
      </c>
      <c r="E46" s="17" t="s">
        <v>166</v>
      </c>
      <c r="F46" s="19"/>
      <c r="G46" s="20">
        <v>1.0</v>
      </c>
      <c r="H46" s="21"/>
      <c r="I46" s="21">
        <v>66.0</v>
      </c>
      <c r="J46" s="22">
        <v>62.0</v>
      </c>
      <c r="K46" s="50"/>
      <c r="L46" s="21" t="str">
        <f>IF(K46&gt;0,K46*I46,"")</f>
      </c>
      <c r="M46" s="52"/>
      <c r="N46" t="str">
        <f>IF(K46&gt;0,COUNTIF($K$7:K46,"&gt;0"),"")</f>
      </c>
      <c r="O46" t="s">
        <v>170</v>
      </c>
      <c r="P46" t="s">
        <v>168</v>
      </c>
      <c r="Q46" t="s">
        <v>168</v>
      </c>
    </row>
    <row r="47" spans="1:18" customHeight="1" ht="58">
      <c r="A47" s="16"/>
      <c r="B47" s="18" t="s">
        <v>163</v>
      </c>
      <c r="C47" s="17" t="s">
        <v>164</v>
      </c>
      <c r="D47" s="17" t="s">
        <v>172</v>
      </c>
      <c r="E47" s="17" t="s">
        <v>166</v>
      </c>
      <c r="F47" s="19"/>
      <c r="G47" s="20">
        <v>1.0</v>
      </c>
      <c r="H47" s="21"/>
      <c r="I47" s="21">
        <v>66.0</v>
      </c>
      <c r="J47" s="22">
        <v>50.0</v>
      </c>
      <c r="K47" s="50"/>
      <c r="L47" s="21" t="str">
        <f>IF(K47&gt;0,K47*I47,"")</f>
      </c>
      <c r="M47" s="52"/>
      <c r="N47" t="str">
        <f>IF(K47&gt;0,COUNTIF($K$7:K47,"&gt;0"),"")</f>
      </c>
      <c r="O47" t="s">
        <v>173</v>
      </c>
      <c r="P47" t="s">
        <v>171</v>
      </c>
      <c r="Q47" t="s">
        <v>171</v>
      </c>
    </row>
    <row r="48" spans="1:18" customHeight="1" ht="58">
      <c r="A48" s="16"/>
      <c r="B48" s="18" t="s">
        <v>175</v>
      </c>
      <c r="C48" s="17" t="s">
        <v>176</v>
      </c>
      <c r="D48" s="17" t="s">
        <v>85</v>
      </c>
      <c r="E48" s="17" t="s">
        <v>36</v>
      </c>
      <c r="F48" s="19"/>
      <c r="G48" s="20">
        <v>1.0</v>
      </c>
      <c r="H48" s="21"/>
      <c r="I48" s="21">
        <v>121.0</v>
      </c>
      <c r="J48" s="22">
        <v>247.0</v>
      </c>
      <c r="K48" s="50"/>
      <c r="L48" s="21" t="str">
        <f>IF(K48&gt;0,K48*I48,"")</f>
      </c>
      <c r="M48" s="52"/>
      <c r="N48" t="str">
        <f>IF(K48&gt;0,COUNTIF($K$7:K48,"&gt;0"),"")</f>
      </c>
      <c r="O48" t="s">
        <v>177</v>
      </c>
      <c r="P48" t="s">
        <v>174</v>
      </c>
      <c r="Q48" t="s">
        <v>174</v>
      </c>
    </row>
    <row r="49" spans="1:18" customHeight="1" ht="58">
      <c r="A49" s="16"/>
      <c r="B49" s="18" t="s">
        <v>175</v>
      </c>
      <c r="C49" s="17" t="s">
        <v>176</v>
      </c>
      <c r="D49" s="17" t="s">
        <v>179</v>
      </c>
      <c r="E49" s="17" t="s">
        <v>36</v>
      </c>
      <c r="F49" s="19"/>
      <c r="G49" s="20">
        <v>1.0</v>
      </c>
      <c r="H49" s="21"/>
      <c r="I49" s="21">
        <v>121.0</v>
      </c>
      <c r="J49" s="22">
        <v>181.0</v>
      </c>
      <c r="K49" s="50"/>
      <c r="L49" s="21" t="str">
        <f>IF(K49&gt;0,K49*I49,"")</f>
      </c>
      <c r="M49" s="52"/>
      <c r="N49" t="str">
        <f>IF(K49&gt;0,COUNTIF($K$7:K49,"&gt;0"),"")</f>
      </c>
      <c r="O49" t="s">
        <v>180</v>
      </c>
      <c r="P49" t="s">
        <v>178</v>
      </c>
      <c r="Q49" t="s">
        <v>178</v>
      </c>
    </row>
    <row r="50" spans="1:18" customHeight="1" ht="58">
      <c r="A50" s="16"/>
      <c r="B50" s="18" t="s">
        <v>175</v>
      </c>
      <c r="C50" s="17" t="s">
        <v>176</v>
      </c>
      <c r="D50" s="17" t="s">
        <v>182</v>
      </c>
      <c r="E50" s="17" t="s">
        <v>36</v>
      </c>
      <c r="F50" s="19"/>
      <c r="G50" s="20">
        <v>1.0</v>
      </c>
      <c r="H50" s="21"/>
      <c r="I50" s="21">
        <v>121.0</v>
      </c>
      <c r="J50" s="22">
        <v>183.0</v>
      </c>
      <c r="K50" s="50"/>
      <c r="L50" s="21" t="str">
        <f>IF(K50&gt;0,K50*I50,"")</f>
      </c>
      <c r="M50" s="52"/>
      <c r="N50" t="str">
        <f>IF(K50&gt;0,COUNTIF($K$7:K50,"&gt;0"),"")</f>
      </c>
      <c r="O50" t="s">
        <v>183</v>
      </c>
      <c r="P50" t="s">
        <v>181</v>
      </c>
      <c r="Q50" t="s">
        <v>181</v>
      </c>
    </row>
    <row r="51" spans="1:18" customHeight="1" ht="58">
      <c r="A51" s="16"/>
      <c r="B51" s="18" t="s">
        <v>175</v>
      </c>
      <c r="C51" s="17" t="s">
        <v>176</v>
      </c>
      <c r="D51" s="17" t="s">
        <v>185</v>
      </c>
      <c r="E51" s="17" t="s">
        <v>36</v>
      </c>
      <c r="F51" s="19"/>
      <c r="G51" s="20">
        <v>1.0</v>
      </c>
      <c r="H51" s="21"/>
      <c r="I51" s="21">
        <v>121.0</v>
      </c>
      <c r="J51" s="22">
        <v>228.0</v>
      </c>
      <c r="K51" s="50"/>
      <c r="L51" s="21" t="str">
        <f>IF(K51&gt;0,K51*I51,"")</f>
      </c>
      <c r="M51" s="52"/>
      <c r="N51" t="str">
        <f>IF(K51&gt;0,COUNTIF($K$7:K51,"&gt;0"),"")</f>
      </c>
      <c r="O51" t="s">
        <v>186</v>
      </c>
      <c r="P51" t="s">
        <v>184</v>
      </c>
      <c r="Q51" t="s">
        <v>184</v>
      </c>
    </row>
    <row r="52" spans="1:18" customHeight="1" ht="58">
      <c r="A52" s="16"/>
      <c r="B52" s="18" t="s">
        <v>188</v>
      </c>
      <c r="C52" s="17" t="s">
        <v>189</v>
      </c>
      <c r="D52" s="17" t="s">
        <v>56</v>
      </c>
      <c r="E52" s="17" t="s">
        <v>36</v>
      </c>
      <c r="F52" s="19"/>
      <c r="G52" s="20">
        <v>1.0</v>
      </c>
      <c r="H52" s="21"/>
      <c r="I52" s="21">
        <v>121.0</v>
      </c>
      <c r="J52" s="22">
        <v>1107.0</v>
      </c>
      <c r="K52" s="50"/>
      <c r="L52" s="21" t="str">
        <f>IF(K52&gt;0,K52*I52,"")</f>
      </c>
      <c r="M52" s="52"/>
      <c r="N52" t="str">
        <f>IF(K52&gt;0,COUNTIF($K$7:K52,"&gt;0"),"")</f>
      </c>
      <c r="O52" t="s">
        <v>190</v>
      </c>
      <c r="P52" t="s">
        <v>187</v>
      </c>
      <c r="Q52" t="s">
        <v>187</v>
      </c>
    </row>
    <row r="53" spans="1:18" customHeight="1" ht="58">
      <c r="A53" s="16"/>
      <c r="B53" s="18" t="s">
        <v>188</v>
      </c>
      <c r="C53" s="17" t="s">
        <v>189</v>
      </c>
      <c r="D53" s="17" t="s">
        <v>192</v>
      </c>
      <c r="E53" s="17" t="s">
        <v>36</v>
      </c>
      <c r="F53" s="19"/>
      <c r="G53" s="20">
        <v>1.0</v>
      </c>
      <c r="H53" s="21"/>
      <c r="I53" s="21">
        <v>121.0</v>
      </c>
      <c r="J53" s="22">
        <v>1430.0</v>
      </c>
      <c r="K53" s="50"/>
      <c r="L53" s="21" t="str">
        <f>IF(K53&gt;0,K53*I53,"")</f>
      </c>
      <c r="M53" s="52"/>
      <c r="N53" t="str">
        <f>IF(K53&gt;0,COUNTIF($K$7:K53,"&gt;0"),"")</f>
      </c>
      <c r="O53" t="s">
        <v>193</v>
      </c>
      <c r="P53" t="s">
        <v>191</v>
      </c>
      <c r="Q53" t="s">
        <v>191</v>
      </c>
    </row>
    <row r="54" spans="1:18" customHeight="1" ht="58">
      <c r="A54" s="16"/>
      <c r="B54" s="18" t="s">
        <v>188</v>
      </c>
      <c r="C54" s="17" t="s">
        <v>189</v>
      </c>
      <c r="D54" s="17" t="s">
        <v>98</v>
      </c>
      <c r="E54" s="17" t="s">
        <v>36</v>
      </c>
      <c r="F54" s="19"/>
      <c r="G54" s="20">
        <v>1.0</v>
      </c>
      <c r="H54" s="21"/>
      <c r="I54" s="21">
        <v>121.0</v>
      </c>
      <c r="J54" s="22">
        <v>634.0</v>
      </c>
      <c r="K54" s="50"/>
      <c r="L54" s="21" t="str">
        <f>IF(K54&gt;0,K54*I54,"")</f>
      </c>
      <c r="M54" s="52"/>
      <c r="N54" t="str">
        <f>IF(K54&gt;0,COUNTIF($K$7:K54,"&gt;0"),"")</f>
      </c>
      <c r="O54" t="s">
        <v>195</v>
      </c>
      <c r="P54" t="s">
        <v>194</v>
      </c>
      <c r="Q54" t="s">
        <v>194</v>
      </c>
    </row>
    <row r="55" spans="1:18" customHeight="1" ht="58">
      <c r="A55" s="16"/>
      <c r="B55" s="18" t="s">
        <v>188</v>
      </c>
      <c r="C55" s="17" t="s">
        <v>189</v>
      </c>
      <c r="D55" s="17" t="s">
        <v>179</v>
      </c>
      <c r="E55" s="17" t="s">
        <v>36</v>
      </c>
      <c r="F55" s="19"/>
      <c r="G55" s="20">
        <v>1.0</v>
      </c>
      <c r="H55" s="21"/>
      <c r="I55" s="21">
        <v>121.0</v>
      </c>
      <c r="J55" s="22">
        <v>650.0</v>
      </c>
      <c r="K55" s="50"/>
      <c r="L55" s="21" t="str">
        <f>IF(K55&gt;0,K55*I55,"")</f>
      </c>
      <c r="M55" s="52"/>
      <c r="N55" t="str">
        <f>IF(K55&gt;0,COUNTIF($K$7:K55,"&gt;0"),"")</f>
      </c>
      <c r="O55" t="s">
        <v>197</v>
      </c>
      <c r="P55" t="s">
        <v>196</v>
      </c>
      <c r="Q55" t="s">
        <v>196</v>
      </c>
    </row>
    <row r="56" spans="1:18" customHeight="1" ht="58">
      <c r="A56" s="16"/>
      <c r="B56" s="18" t="s">
        <v>188</v>
      </c>
      <c r="C56" s="17" t="s">
        <v>189</v>
      </c>
      <c r="D56" s="17" t="s">
        <v>199</v>
      </c>
      <c r="E56" s="17" t="s">
        <v>36</v>
      </c>
      <c r="F56" s="19"/>
      <c r="G56" s="20">
        <v>1.0</v>
      </c>
      <c r="H56" s="21"/>
      <c r="I56" s="21">
        <v>121.0</v>
      </c>
      <c r="J56" s="22">
        <v>1426.0</v>
      </c>
      <c r="K56" s="50"/>
      <c r="L56" s="21" t="str">
        <f>IF(K56&gt;0,K56*I56,"")</f>
      </c>
      <c r="M56" s="52"/>
      <c r="N56" t="str">
        <f>IF(K56&gt;0,COUNTIF($K$7:K56,"&gt;0"),"")</f>
      </c>
      <c r="O56" t="s">
        <v>200</v>
      </c>
      <c r="P56" t="s">
        <v>198</v>
      </c>
      <c r="Q56" t="s">
        <v>198</v>
      </c>
    </row>
    <row r="57" spans="1:18" customHeight="1" ht="58">
      <c r="A57" s="16"/>
      <c r="B57" s="18" t="s">
        <v>188</v>
      </c>
      <c r="C57" s="17" t="s">
        <v>189</v>
      </c>
      <c r="D57" s="17" t="s">
        <v>90</v>
      </c>
      <c r="E57" s="17" t="s">
        <v>36</v>
      </c>
      <c r="F57" s="19"/>
      <c r="G57" s="20">
        <v>1.0</v>
      </c>
      <c r="H57" s="21"/>
      <c r="I57" s="21">
        <v>121.0</v>
      </c>
      <c r="J57" s="22">
        <v>722.0</v>
      </c>
      <c r="K57" s="50"/>
      <c r="L57" s="21" t="str">
        <f>IF(K57&gt;0,K57*I57,"")</f>
      </c>
      <c r="M57" s="52"/>
      <c r="N57" t="str">
        <f>IF(K57&gt;0,COUNTIF($K$7:K57,"&gt;0"),"")</f>
      </c>
      <c r="O57" t="s">
        <v>202</v>
      </c>
      <c r="P57" t="s">
        <v>201</v>
      </c>
      <c r="Q57" t="s">
        <v>201</v>
      </c>
    </row>
    <row r="58" spans="1:18" customHeight="1" ht="58">
      <c r="A58" s="16"/>
      <c r="B58" s="18" t="s">
        <v>204</v>
      </c>
      <c r="C58" s="17" t="s">
        <v>205</v>
      </c>
      <c r="D58" s="17" t="s">
        <v>206</v>
      </c>
      <c r="E58" s="17" t="s">
        <v>36</v>
      </c>
      <c r="F58" s="19"/>
      <c r="G58" s="20">
        <v>1.0</v>
      </c>
      <c r="H58" s="21"/>
      <c r="I58" s="21">
        <v>104.0</v>
      </c>
      <c r="J58" s="22">
        <v>155.0</v>
      </c>
      <c r="K58" s="50"/>
      <c r="L58" s="21" t="str">
        <f>IF(K58&gt;0,K58*I58,"")</f>
      </c>
      <c r="M58" s="52"/>
      <c r="N58" t="str">
        <f>IF(K58&gt;0,COUNTIF($K$7:K58,"&gt;0"),"")</f>
      </c>
      <c r="O58" t="s">
        <v>207</v>
      </c>
      <c r="P58" t="s">
        <v>203</v>
      </c>
      <c r="Q58" t="s">
        <v>203</v>
      </c>
    </row>
    <row r="59" spans="1:18" customHeight="1" ht="58">
      <c r="A59" s="16"/>
      <c r="B59" s="18" t="s">
        <v>204</v>
      </c>
      <c r="C59" s="17" t="s">
        <v>205</v>
      </c>
      <c r="D59" s="17" t="s">
        <v>209</v>
      </c>
      <c r="E59" s="17" t="s">
        <v>36</v>
      </c>
      <c r="F59" s="19"/>
      <c r="G59" s="20">
        <v>1.0</v>
      </c>
      <c r="H59" s="21"/>
      <c r="I59" s="21">
        <v>104.0</v>
      </c>
      <c r="J59" s="22">
        <v>534.0</v>
      </c>
      <c r="K59" s="50"/>
      <c r="L59" s="21" t="str">
        <f>IF(K59&gt;0,K59*I59,"")</f>
      </c>
      <c r="M59" s="52"/>
      <c r="N59" t="str">
        <f>IF(K59&gt;0,COUNTIF($K$7:K59,"&gt;0"),"")</f>
      </c>
      <c r="O59" t="s">
        <v>210</v>
      </c>
      <c r="P59" t="s">
        <v>208</v>
      </c>
      <c r="Q59" t="s">
        <v>208</v>
      </c>
    </row>
    <row r="60" spans="1:18" customHeight="1" ht="58">
      <c r="A60" s="16"/>
      <c r="B60" s="18" t="s">
        <v>204</v>
      </c>
      <c r="C60" s="17" t="s">
        <v>205</v>
      </c>
      <c r="D60" s="17" t="s">
        <v>212</v>
      </c>
      <c r="E60" s="17" t="s">
        <v>36</v>
      </c>
      <c r="F60" s="19"/>
      <c r="G60" s="20">
        <v>1.0</v>
      </c>
      <c r="H60" s="21"/>
      <c r="I60" s="21">
        <v>104.0</v>
      </c>
      <c r="J60" s="22">
        <v>3.0</v>
      </c>
      <c r="K60" s="50"/>
      <c r="L60" s="21" t="str">
        <f>IF(K60&gt;0,K60*I60,"")</f>
      </c>
      <c r="M60" s="52"/>
      <c r="N60" t="str">
        <f>IF(K60&gt;0,COUNTIF($K$7:K60,"&gt;0"),"")</f>
      </c>
      <c r="O60" t="s">
        <v>213</v>
      </c>
      <c r="P60" t="s">
        <v>211</v>
      </c>
      <c r="Q60" t="s">
        <v>211</v>
      </c>
    </row>
    <row r="61" spans="1:18" customHeight="1" ht="58">
      <c r="A61" s="16"/>
      <c r="B61" s="18" t="s">
        <v>204</v>
      </c>
      <c r="C61" s="17" t="s">
        <v>205</v>
      </c>
      <c r="D61" s="17" t="s">
        <v>215</v>
      </c>
      <c r="E61" s="17" t="s">
        <v>36</v>
      </c>
      <c r="F61" s="19"/>
      <c r="G61" s="20">
        <v>1.0</v>
      </c>
      <c r="H61" s="21"/>
      <c r="I61" s="21">
        <v>104.0</v>
      </c>
      <c r="J61" s="22">
        <v>108.0</v>
      </c>
      <c r="K61" s="50"/>
      <c r="L61" s="21" t="str">
        <f>IF(K61&gt;0,K61*I61,"")</f>
      </c>
      <c r="M61" s="52"/>
      <c r="N61" t="str">
        <f>IF(K61&gt;0,COUNTIF($K$7:K61,"&gt;0"),"")</f>
      </c>
      <c r="O61" t="s">
        <v>216</v>
      </c>
      <c r="P61" t="s">
        <v>214</v>
      </c>
      <c r="Q61" t="s">
        <v>214</v>
      </c>
    </row>
    <row r="62" spans="1:18" customHeight="1" ht="58">
      <c r="A62" s="16"/>
      <c r="B62" s="18" t="s">
        <v>204</v>
      </c>
      <c r="C62" s="17" t="s">
        <v>205</v>
      </c>
      <c r="D62" s="17" t="s">
        <v>218</v>
      </c>
      <c r="E62" s="17" t="s">
        <v>36</v>
      </c>
      <c r="F62" s="19"/>
      <c r="G62" s="20">
        <v>1.0</v>
      </c>
      <c r="H62" s="21"/>
      <c r="I62" s="21">
        <v>104.0</v>
      </c>
      <c r="J62" s="22">
        <v>380.0</v>
      </c>
      <c r="K62" s="50"/>
      <c r="L62" s="21" t="str">
        <f>IF(K62&gt;0,K62*I62,"")</f>
      </c>
      <c r="M62" s="52"/>
      <c r="N62" t="str">
        <f>IF(K62&gt;0,COUNTIF($K$7:K62,"&gt;0"),"")</f>
      </c>
      <c r="O62" t="s">
        <v>219</v>
      </c>
      <c r="P62" t="s">
        <v>217</v>
      </c>
      <c r="Q62" t="s">
        <v>217</v>
      </c>
    </row>
    <row r="63" spans="1:18" customHeight="1" ht="58">
      <c r="A63" s="16"/>
      <c r="B63" s="18" t="s">
        <v>204</v>
      </c>
      <c r="C63" s="17" t="s">
        <v>205</v>
      </c>
      <c r="D63" s="17" t="s">
        <v>221</v>
      </c>
      <c r="E63" s="17" t="s">
        <v>36</v>
      </c>
      <c r="F63" s="19"/>
      <c r="G63" s="20">
        <v>1.0</v>
      </c>
      <c r="H63" s="21"/>
      <c r="I63" s="21">
        <v>104.0</v>
      </c>
      <c r="J63" s="22">
        <v>997.0</v>
      </c>
      <c r="K63" s="50"/>
      <c r="L63" s="21" t="str">
        <f>IF(K63&gt;0,K63*I63,"")</f>
      </c>
      <c r="M63" s="52"/>
      <c r="N63" t="str">
        <f>IF(K63&gt;0,COUNTIF($K$7:K63,"&gt;0"),"")</f>
      </c>
      <c r="O63" t="s">
        <v>222</v>
      </c>
      <c r="P63" t="s">
        <v>220</v>
      </c>
      <c r="Q63" t="s">
        <v>220</v>
      </c>
    </row>
    <row r="64" spans="1:18" customHeight="1" ht="58">
      <c r="A64" s="16"/>
      <c r="B64" s="18" t="s">
        <v>204</v>
      </c>
      <c r="C64" s="17" t="s">
        <v>205</v>
      </c>
      <c r="D64" s="17" t="s">
        <v>224</v>
      </c>
      <c r="E64" s="17" t="s">
        <v>36</v>
      </c>
      <c r="F64" s="19"/>
      <c r="G64" s="20">
        <v>1.0</v>
      </c>
      <c r="H64" s="21"/>
      <c r="I64" s="21">
        <v>104.0</v>
      </c>
      <c r="J64" s="22">
        <v>574.0</v>
      </c>
      <c r="K64" s="50"/>
      <c r="L64" s="21" t="str">
        <f>IF(K64&gt;0,K64*I64,"")</f>
      </c>
      <c r="M64" s="52"/>
      <c r="N64" t="str">
        <f>IF(K64&gt;0,COUNTIF($K$7:K64,"&gt;0"),"")</f>
      </c>
      <c r="O64" t="s">
        <v>225</v>
      </c>
      <c r="P64" t="s">
        <v>223</v>
      </c>
      <c r="Q64" t="s">
        <v>223</v>
      </c>
    </row>
    <row r="65" spans="1:18" customHeight="1" ht="58">
      <c r="A65" s="16"/>
      <c r="B65" s="18" t="s">
        <v>204</v>
      </c>
      <c r="C65" s="17" t="s">
        <v>205</v>
      </c>
      <c r="D65" s="17" t="s">
        <v>227</v>
      </c>
      <c r="E65" s="17" t="s">
        <v>36</v>
      </c>
      <c r="F65" s="19"/>
      <c r="G65" s="20">
        <v>1.0</v>
      </c>
      <c r="H65" s="21"/>
      <c r="I65" s="21">
        <v>104.0</v>
      </c>
      <c r="J65" s="22">
        <v>283.0</v>
      </c>
      <c r="K65" s="50"/>
      <c r="L65" s="21" t="str">
        <f>IF(K65&gt;0,K65*I65,"")</f>
      </c>
      <c r="M65" s="52"/>
      <c r="N65" t="str">
        <f>IF(K65&gt;0,COUNTIF($K$7:K65,"&gt;0"),"")</f>
      </c>
      <c r="O65" t="s">
        <v>228</v>
      </c>
      <c r="P65" t="s">
        <v>226</v>
      </c>
      <c r="Q65" t="s">
        <v>226</v>
      </c>
    </row>
    <row r="66" spans="1:18" customHeight="1" ht="58">
      <c r="A66" s="16"/>
      <c r="B66" s="18" t="s">
        <v>204</v>
      </c>
      <c r="C66" s="17" t="s">
        <v>205</v>
      </c>
      <c r="D66" s="17" t="s">
        <v>230</v>
      </c>
      <c r="E66" s="17" t="s">
        <v>36</v>
      </c>
      <c r="F66" s="19"/>
      <c r="G66" s="20">
        <v>1.0</v>
      </c>
      <c r="H66" s="21"/>
      <c r="I66" s="21">
        <v>104.0</v>
      </c>
      <c r="J66" s="22">
        <v>1051.0</v>
      </c>
      <c r="K66" s="50"/>
      <c r="L66" s="21" t="str">
        <f>IF(K66&gt;0,K66*I66,"")</f>
      </c>
      <c r="M66" s="52"/>
      <c r="N66" t="str">
        <f>IF(K66&gt;0,COUNTIF($K$7:K66,"&gt;0"),"")</f>
      </c>
      <c r="O66" t="s">
        <v>231</v>
      </c>
      <c r="P66" t="s">
        <v>229</v>
      </c>
      <c r="Q66" t="s">
        <v>229</v>
      </c>
    </row>
    <row r="67" spans="1:18" customHeight="1" ht="58">
      <c r="A67" s="16"/>
      <c r="B67" s="18" t="s">
        <v>233</v>
      </c>
      <c r="C67" s="17" t="s">
        <v>234</v>
      </c>
      <c r="D67" s="17" t="s">
        <v>235</v>
      </c>
      <c r="E67" s="17" t="s">
        <v>36</v>
      </c>
      <c r="F67" s="19"/>
      <c r="G67" s="20">
        <v>1.0</v>
      </c>
      <c r="H67" s="21"/>
      <c r="I67" s="21">
        <v>104.0</v>
      </c>
      <c r="J67" s="22">
        <v>2.0</v>
      </c>
      <c r="K67" s="50"/>
      <c r="L67" s="21" t="str">
        <f>IF(K67&gt;0,K67*I67,"")</f>
      </c>
      <c r="M67" s="52"/>
      <c r="N67" t="str">
        <f>IF(K67&gt;0,COUNTIF($K$7:K67,"&gt;0"),"")</f>
      </c>
      <c r="O67" t="s">
        <v>236</v>
      </c>
      <c r="P67" t="s">
        <v>232</v>
      </c>
      <c r="Q67" t="s">
        <v>232</v>
      </c>
    </row>
    <row r="68" spans="1:18" customHeight="1" ht="58">
      <c r="A68" s="16"/>
      <c r="B68" s="18" t="s">
        <v>233</v>
      </c>
      <c r="C68" s="17" t="s">
        <v>234</v>
      </c>
      <c r="D68" s="17" t="s">
        <v>35</v>
      </c>
      <c r="E68" s="17" t="s">
        <v>36</v>
      </c>
      <c r="F68" s="19"/>
      <c r="G68" s="20">
        <v>1.0</v>
      </c>
      <c r="H68" s="21"/>
      <c r="I68" s="21">
        <v>104.0</v>
      </c>
      <c r="J68" s="22">
        <v>48.0</v>
      </c>
      <c r="K68" s="50"/>
      <c r="L68" s="21" t="str">
        <f>IF(K68&gt;0,K68*I68,"")</f>
      </c>
      <c r="M68" s="52"/>
      <c r="N68" t="str">
        <f>IF(K68&gt;0,COUNTIF($K$7:K68,"&gt;0"),"")</f>
      </c>
      <c r="O68" t="s">
        <v>238</v>
      </c>
      <c r="P68" t="s">
        <v>237</v>
      </c>
      <c r="Q68" t="s">
        <v>237</v>
      </c>
    </row>
    <row r="69" spans="1:18" customHeight="1" ht="58">
      <c r="A69" s="16"/>
      <c r="B69" s="18" t="s">
        <v>240</v>
      </c>
      <c r="C69" s="17" t="s">
        <v>241</v>
      </c>
      <c r="D69" s="17" t="s">
        <v>242</v>
      </c>
      <c r="E69" s="17" t="s">
        <v>36</v>
      </c>
      <c r="F69" s="19"/>
      <c r="G69" s="20">
        <v>1.0</v>
      </c>
      <c r="H69" s="21"/>
      <c r="I69" s="21">
        <v>128.0</v>
      </c>
      <c r="J69" s="22">
        <v>495.0</v>
      </c>
      <c r="K69" s="50"/>
      <c r="L69" s="21" t="str">
        <f>IF(K69&gt;0,K69*I69,"")</f>
      </c>
      <c r="M69" s="52"/>
      <c r="N69" t="str">
        <f>IF(K69&gt;0,COUNTIF($K$7:K69,"&gt;0"),"")</f>
      </c>
      <c r="O69" t="s">
        <v>243</v>
      </c>
      <c r="P69" t="s">
        <v>239</v>
      </c>
      <c r="Q69" t="s">
        <v>239</v>
      </c>
    </row>
    <row r="70" spans="1:18" customHeight="1" ht="58">
      <c r="A70" s="16"/>
      <c r="B70" s="18" t="s">
        <v>245</v>
      </c>
      <c r="C70" s="17" t="s">
        <v>246</v>
      </c>
      <c r="D70" s="17" t="s">
        <v>247</v>
      </c>
      <c r="E70" s="17" t="s">
        <v>36</v>
      </c>
      <c r="F70" s="19"/>
      <c r="G70" s="20">
        <v>1.0</v>
      </c>
      <c r="H70" s="21"/>
      <c r="I70" s="21">
        <v>121.0</v>
      </c>
      <c r="J70" s="22">
        <v>329.0</v>
      </c>
      <c r="K70" s="50"/>
      <c r="L70" s="21" t="str">
        <f>IF(K70&gt;0,K70*I70,"")</f>
      </c>
      <c r="M70" s="52"/>
      <c r="N70" t="str">
        <f>IF(K70&gt;0,COUNTIF($K$7:K70,"&gt;0"),"")</f>
      </c>
      <c r="O70" t="s">
        <v>248</v>
      </c>
      <c r="P70" t="s">
        <v>244</v>
      </c>
      <c r="Q70" t="s">
        <v>244</v>
      </c>
    </row>
    <row r="71" spans="1:18" customHeight="1" ht="58">
      <c r="A71" s="16"/>
      <c r="B71" s="18" t="s">
        <v>245</v>
      </c>
      <c r="C71" s="17" t="s">
        <v>246</v>
      </c>
      <c r="D71" s="17" t="s">
        <v>250</v>
      </c>
      <c r="E71" s="17" t="s">
        <v>36</v>
      </c>
      <c r="F71" s="19"/>
      <c r="G71" s="20">
        <v>1.0</v>
      </c>
      <c r="H71" s="21"/>
      <c r="I71" s="21">
        <v>121.0</v>
      </c>
      <c r="J71" s="22">
        <v>95.0</v>
      </c>
      <c r="K71" s="50"/>
      <c r="L71" s="21" t="str">
        <f>IF(K71&gt;0,K71*I71,"")</f>
      </c>
      <c r="M71" s="52"/>
      <c r="N71" t="str">
        <f>IF(K71&gt;0,COUNTIF($K$7:K71,"&gt;0"),"")</f>
      </c>
      <c r="O71" t="s">
        <v>251</v>
      </c>
      <c r="P71" t="s">
        <v>249</v>
      </c>
      <c r="Q71" t="s">
        <v>249</v>
      </c>
    </row>
    <row r="72" spans="1:18" customHeight="1" ht="58">
      <c r="A72" s="16"/>
      <c r="B72" s="18" t="s">
        <v>245</v>
      </c>
      <c r="C72" s="17" t="s">
        <v>246</v>
      </c>
      <c r="D72" s="17" t="s">
        <v>85</v>
      </c>
      <c r="E72" s="17" t="s">
        <v>36</v>
      </c>
      <c r="F72" s="19"/>
      <c r="G72" s="20">
        <v>1.0</v>
      </c>
      <c r="H72" s="21"/>
      <c r="I72" s="21">
        <v>121.0</v>
      </c>
      <c r="J72" s="22">
        <v>875.0</v>
      </c>
      <c r="K72" s="50"/>
      <c r="L72" s="21" t="str">
        <f>IF(K72&gt;0,K72*I72,"")</f>
      </c>
      <c r="M72" s="52"/>
      <c r="N72" t="str">
        <f>IF(K72&gt;0,COUNTIF($K$7:K72,"&gt;0"),"")</f>
      </c>
      <c r="O72" t="s">
        <v>253</v>
      </c>
      <c r="P72" t="s">
        <v>252</v>
      </c>
      <c r="Q72" t="s">
        <v>252</v>
      </c>
    </row>
    <row r="73" spans="1:18" customHeight="1" ht="58">
      <c r="A73" s="16"/>
      <c r="B73" s="18" t="s">
        <v>245</v>
      </c>
      <c r="C73" s="17" t="s">
        <v>246</v>
      </c>
      <c r="D73" s="17" t="s">
        <v>255</v>
      </c>
      <c r="E73" s="17" t="s">
        <v>36</v>
      </c>
      <c r="F73" s="19"/>
      <c r="G73" s="20">
        <v>1.0</v>
      </c>
      <c r="H73" s="21"/>
      <c r="I73" s="21">
        <v>121.0</v>
      </c>
      <c r="J73" s="22">
        <v>531.0</v>
      </c>
      <c r="K73" s="50"/>
      <c r="L73" s="21" t="str">
        <f>IF(K73&gt;0,K73*I73,"")</f>
      </c>
      <c r="M73" s="52"/>
      <c r="N73" t="str">
        <f>IF(K73&gt;0,COUNTIF($K$7:K73,"&gt;0"),"")</f>
      </c>
      <c r="O73" t="s">
        <v>256</v>
      </c>
      <c r="P73" t="s">
        <v>254</v>
      </c>
      <c r="Q73" t="s">
        <v>254</v>
      </c>
    </row>
    <row r="74" spans="1:18" customHeight="1" ht="58">
      <c r="A74" s="16"/>
      <c r="B74" s="18" t="s">
        <v>245</v>
      </c>
      <c r="C74" s="17" t="s">
        <v>246</v>
      </c>
      <c r="D74" s="17" t="s">
        <v>66</v>
      </c>
      <c r="E74" s="17" t="s">
        <v>36</v>
      </c>
      <c r="F74" s="19"/>
      <c r="G74" s="20">
        <v>1.0</v>
      </c>
      <c r="H74" s="21"/>
      <c r="I74" s="21">
        <v>121.0</v>
      </c>
      <c r="J74" s="22">
        <v>2.0</v>
      </c>
      <c r="K74" s="50"/>
      <c r="L74" s="21" t="str">
        <f>IF(K74&gt;0,K74*I74,"")</f>
      </c>
      <c r="M74" s="52"/>
      <c r="N74" t="str">
        <f>IF(K74&gt;0,COUNTIF($K$7:K74,"&gt;0"),"")</f>
      </c>
      <c r="O74" t="s">
        <v>258</v>
      </c>
      <c r="P74" t="s">
        <v>257</v>
      </c>
      <c r="Q74" t="s">
        <v>257</v>
      </c>
    </row>
    <row r="75" spans="1:18" customHeight="1" ht="58">
      <c r="A75" s="16"/>
      <c r="B75" s="18" t="s">
        <v>245</v>
      </c>
      <c r="C75" s="17" t="s">
        <v>246</v>
      </c>
      <c r="D75" s="17" t="s">
        <v>260</v>
      </c>
      <c r="E75" s="17" t="s">
        <v>36</v>
      </c>
      <c r="F75" s="19"/>
      <c r="G75" s="20">
        <v>1.0</v>
      </c>
      <c r="H75" s="21"/>
      <c r="I75" s="21">
        <v>121.0</v>
      </c>
      <c r="J75" s="22">
        <v>443.0</v>
      </c>
      <c r="K75" s="50"/>
      <c r="L75" s="21" t="str">
        <f>IF(K75&gt;0,K75*I75,"")</f>
      </c>
      <c r="M75" s="52"/>
      <c r="N75" t="str">
        <f>IF(K75&gt;0,COUNTIF($K$7:K75,"&gt;0"),"")</f>
      </c>
      <c r="O75" t="s">
        <v>261</v>
      </c>
      <c r="P75" t="s">
        <v>259</v>
      </c>
      <c r="Q75" t="s">
        <v>259</v>
      </c>
    </row>
    <row r="76" spans="1:18" customHeight="1" ht="58">
      <c r="A76" s="16"/>
      <c r="B76" s="18" t="s">
        <v>245</v>
      </c>
      <c r="C76" s="17" t="s">
        <v>246</v>
      </c>
      <c r="D76" s="17" t="s">
        <v>263</v>
      </c>
      <c r="E76" s="17" t="s">
        <v>36</v>
      </c>
      <c r="F76" s="19"/>
      <c r="G76" s="20">
        <v>1.0</v>
      </c>
      <c r="H76" s="21"/>
      <c r="I76" s="21">
        <v>121.0</v>
      </c>
      <c r="J76" s="22">
        <v>576.0</v>
      </c>
      <c r="K76" s="50"/>
      <c r="L76" s="21" t="str">
        <f>IF(K76&gt;0,K76*I76,"")</f>
      </c>
      <c r="M76" s="52"/>
      <c r="N76" t="str">
        <f>IF(K76&gt;0,COUNTIF($K$7:K76,"&gt;0"),"")</f>
      </c>
      <c r="O76" t="s">
        <v>264</v>
      </c>
      <c r="P76" t="s">
        <v>262</v>
      </c>
      <c r="Q76" t="s">
        <v>262</v>
      </c>
    </row>
    <row r="77" spans="1:18" customHeight="1" ht="58">
      <c r="A77" s="16"/>
      <c r="B77" s="18" t="s">
        <v>245</v>
      </c>
      <c r="C77" s="17" t="s">
        <v>246</v>
      </c>
      <c r="D77" s="17" t="s">
        <v>266</v>
      </c>
      <c r="E77" s="17" t="s">
        <v>36</v>
      </c>
      <c r="F77" s="19"/>
      <c r="G77" s="20">
        <v>1.0</v>
      </c>
      <c r="H77" s="21"/>
      <c r="I77" s="21">
        <v>121.0</v>
      </c>
      <c r="J77" s="22">
        <v>881.0</v>
      </c>
      <c r="K77" s="50"/>
      <c r="L77" s="21" t="str">
        <f>IF(K77&gt;0,K77*I77,"")</f>
      </c>
      <c r="M77" s="52"/>
      <c r="N77" t="str">
        <f>IF(K77&gt;0,COUNTIF($K$7:K77,"&gt;0"),"")</f>
      </c>
      <c r="O77" t="s">
        <v>267</v>
      </c>
      <c r="P77" t="s">
        <v>265</v>
      </c>
      <c r="Q77" t="s">
        <v>265</v>
      </c>
    </row>
    <row r="78" spans="1:18" customHeight="1" ht="58">
      <c r="A78" s="16"/>
      <c r="B78" s="18" t="s">
        <v>245</v>
      </c>
      <c r="C78" s="17" t="s">
        <v>246</v>
      </c>
      <c r="D78" s="17" t="s">
        <v>269</v>
      </c>
      <c r="E78" s="17" t="s">
        <v>36</v>
      </c>
      <c r="F78" s="19"/>
      <c r="G78" s="20">
        <v>1.0</v>
      </c>
      <c r="H78" s="21"/>
      <c r="I78" s="21">
        <v>121.0</v>
      </c>
      <c r="J78" s="22">
        <v>725.0</v>
      </c>
      <c r="K78" s="50"/>
      <c r="L78" s="21" t="str">
        <f>IF(K78&gt;0,K78*I78,"")</f>
      </c>
      <c r="M78" s="52"/>
      <c r="N78" t="str">
        <f>IF(K78&gt;0,COUNTIF($K$7:K78,"&gt;0"),"")</f>
      </c>
      <c r="O78" t="s">
        <v>270</v>
      </c>
      <c r="P78" t="s">
        <v>268</v>
      </c>
      <c r="Q78" t="s">
        <v>268</v>
      </c>
    </row>
    <row r="79" spans="1:18" customHeight="1" ht="58">
      <c r="A79" s="16"/>
      <c r="B79" s="18" t="s">
        <v>272</v>
      </c>
      <c r="C79" s="17" t="s">
        <v>273</v>
      </c>
      <c r="D79" s="17" t="s">
        <v>85</v>
      </c>
      <c r="E79" s="17" t="s">
        <v>36</v>
      </c>
      <c r="F79" s="19"/>
      <c r="G79" s="20">
        <v>1.0</v>
      </c>
      <c r="H79" s="21"/>
      <c r="I79" s="21">
        <v>154.0</v>
      </c>
      <c r="J79" s="22">
        <v>210.0</v>
      </c>
      <c r="K79" s="50"/>
      <c r="L79" s="21" t="str">
        <f>IF(K79&gt;0,K79*I79,"")</f>
      </c>
      <c r="M79" s="52"/>
      <c r="N79" t="str">
        <f>IF(K79&gt;0,COUNTIF($K$7:K79,"&gt;0"),"")</f>
      </c>
      <c r="O79" t="s">
        <v>274</v>
      </c>
      <c r="P79" t="s">
        <v>271</v>
      </c>
      <c r="Q79" t="s">
        <v>271</v>
      </c>
    </row>
    <row r="80" spans="1:18" customHeight="1" ht="58">
      <c r="A80" s="16"/>
      <c r="B80" s="18" t="s">
        <v>272</v>
      </c>
      <c r="C80" s="17" t="s">
        <v>273</v>
      </c>
      <c r="D80" s="17" t="s">
        <v>276</v>
      </c>
      <c r="E80" s="17" t="s">
        <v>36</v>
      </c>
      <c r="F80" s="19"/>
      <c r="G80" s="20">
        <v>1.0</v>
      </c>
      <c r="H80" s="21"/>
      <c r="I80" s="21">
        <v>154.0</v>
      </c>
      <c r="J80" s="22">
        <v>582.0</v>
      </c>
      <c r="K80" s="50"/>
      <c r="L80" s="21" t="str">
        <f>IF(K80&gt;0,K80*I80,"")</f>
      </c>
      <c r="M80" s="52"/>
      <c r="N80" t="str">
        <f>IF(K80&gt;0,COUNTIF($K$7:K80,"&gt;0"),"")</f>
      </c>
      <c r="O80" t="s">
        <v>277</v>
      </c>
      <c r="P80" t="s">
        <v>275</v>
      </c>
      <c r="Q80" t="s">
        <v>275</v>
      </c>
    </row>
    <row r="81" spans="1:18" customHeight="1" ht="58">
      <c r="A81" s="16"/>
      <c r="B81" s="18" t="s">
        <v>272</v>
      </c>
      <c r="C81" s="17" t="s">
        <v>273</v>
      </c>
      <c r="D81" s="17" t="s">
        <v>266</v>
      </c>
      <c r="E81" s="17" t="s">
        <v>36</v>
      </c>
      <c r="F81" s="19"/>
      <c r="G81" s="20">
        <v>1.0</v>
      </c>
      <c r="H81" s="21"/>
      <c r="I81" s="21">
        <v>154.0</v>
      </c>
      <c r="J81" s="22">
        <v>133.0</v>
      </c>
      <c r="K81" s="50"/>
      <c r="L81" s="21" t="str">
        <f>IF(K81&gt;0,K81*I81,"")</f>
      </c>
      <c r="M81" s="52"/>
      <c r="N81" t="str">
        <f>IF(K81&gt;0,COUNTIF($K$7:K81,"&gt;0"),"")</f>
      </c>
      <c r="O81" t="s">
        <v>279</v>
      </c>
      <c r="P81" t="s">
        <v>278</v>
      </c>
      <c r="Q81" t="s">
        <v>278</v>
      </c>
    </row>
    <row r="82" spans="1:18" customHeight="1" ht="58">
      <c r="A82" s="16"/>
      <c r="B82" s="18" t="s">
        <v>272</v>
      </c>
      <c r="C82" s="17" t="s">
        <v>273</v>
      </c>
      <c r="D82" s="17" t="s">
        <v>269</v>
      </c>
      <c r="E82" s="17" t="s">
        <v>36</v>
      </c>
      <c r="F82" s="19"/>
      <c r="G82" s="20">
        <v>1.0</v>
      </c>
      <c r="H82" s="21"/>
      <c r="I82" s="21">
        <v>154.0</v>
      </c>
      <c r="J82" s="22">
        <v>217.0</v>
      </c>
      <c r="K82" s="50"/>
      <c r="L82" s="21" t="str">
        <f>IF(K82&gt;0,K82*I82,"")</f>
      </c>
      <c r="M82" s="52"/>
      <c r="N82" t="str">
        <f>IF(K82&gt;0,COUNTIF($K$7:K82,"&gt;0"),"")</f>
      </c>
      <c r="O82" t="s">
        <v>281</v>
      </c>
      <c r="P82" t="s">
        <v>280</v>
      </c>
      <c r="Q82" t="s">
        <v>280</v>
      </c>
    </row>
    <row r="83" spans="1:18" customHeight="1" ht="58">
      <c r="A83" s="16"/>
      <c r="B83" s="18" t="s">
        <v>283</v>
      </c>
      <c r="C83" s="17" t="s">
        <v>284</v>
      </c>
      <c r="D83" s="17" t="s">
        <v>285</v>
      </c>
      <c r="E83" s="17" t="s">
        <v>36</v>
      </c>
      <c r="F83" s="19"/>
      <c r="G83" s="20">
        <v>1.0</v>
      </c>
      <c r="H83" s="21"/>
      <c r="I83" s="21">
        <v>104.0</v>
      </c>
      <c r="J83" s="22">
        <v>598.0</v>
      </c>
      <c r="K83" s="50"/>
      <c r="L83" s="21" t="str">
        <f>IF(K83&gt;0,K83*I83,"")</f>
      </c>
      <c r="M83" s="52"/>
      <c r="N83" t="str">
        <f>IF(K83&gt;0,COUNTIF($K$7:K83,"&gt;0"),"")</f>
      </c>
      <c r="O83" t="s">
        <v>286</v>
      </c>
      <c r="P83" t="s">
        <v>282</v>
      </c>
      <c r="Q83" t="s">
        <v>282</v>
      </c>
    </row>
    <row r="84" spans="1:18" customHeight="1" ht="58">
      <c r="A84" s="16"/>
      <c r="B84" s="18" t="s">
        <v>283</v>
      </c>
      <c r="C84" s="17" t="s">
        <v>284</v>
      </c>
      <c r="D84" s="17" t="s">
        <v>288</v>
      </c>
      <c r="E84" s="17" t="s">
        <v>36</v>
      </c>
      <c r="F84" s="19"/>
      <c r="G84" s="20">
        <v>1.0</v>
      </c>
      <c r="H84" s="21"/>
      <c r="I84" s="21">
        <v>104.0</v>
      </c>
      <c r="J84" s="22">
        <v>346.0</v>
      </c>
      <c r="K84" s="50"/>
      <c r="L84" s="21" t="str">
        <f>IF(K84&gt;0,K84*I84,"")</f>
      </c>
      <c r="M84" s="52"/>
      <c r="N84" t="str">
        <f>IF(K84&gt;0,COUNTIF($K$7:K84,"&gt;0"),"")</f>
      </c>
      <c r="O84" t="s">
        <v>289</v>
      </c>
      <c r="P84" t="s">
        <v>287</v>
      </c>
      <c r="Q84" t="s">
        <v>287</v>
      </c>
    </row>
    <row r="85" spans="1:18" customHeight="1" ht="58">
      <c r="A85" s="16"/>
      <c r="B85" s="18" t="s">
        <v>283</v>
      </c>
      <c r="C85" s="17" t="s">
        <v>284</v>
      </c>
      <c r="D85" s="17" t="s">
        <v>291</v>
      </c>
      <c r="E85" s="17" t="s">
        <v>36</v>
      </c>
      <c r="F85" s="19"/>
      <c r="G85" s="20">
        <v>1.0</v>
      </c>
      <c r="H85" s="21"/>
      <c r="I85" s="21">
        <v>104.0</v>
      </c>
      <c r="J85" s="22">
        <v>28.0</v>
      </c>
      <c r="K85" s="50"/>
      <c r="L85" s="21" t="str">
        <f>IF(K85&gt;0,K85*I85,"")</f>
      </c>
      <c r="M85" s="52"/>
      <c r="N85" t="str">
        <f>IF(K85&gt;0,COUNTIF($K$7:K85,"&gt;0"),"")</f>
      </c>
      <c r="O85" t="s">
        <v>292</v>
      </c>
      <c r="P85" t="s">
        <v>290</v>
      </c>
      <c r="Q85" t="s">
        <v>290</v>
      </c>
    </row>
    <row r="86" spans="1:18" customHeight="1" ht="58">
      <c r="A86" s="16"/>
      <c r="B86" s="18" t="s">
        <v>294</v>
      </c>
      <c r="C86" s="17" t="s">
        <v>295</v>
      </c>
      <c r="D86" s="17" t="s">
        <v>296</v>
      </c>
      <c r="E86" s="17" t="s">
        <v>36</v>
      </c>
      <c r="F86" s="19"/>
      <c r="G86" s="20">
        <v>1.0</v>
      </c>
      <c r="H86" s="21"/>
      <c r="I86" s="21">
        <v>215.0</v>
      </c>
      <c r="J86" s="22">
        <v>60.0</v>
      </c>
      <c r="K86" s="50"/>
      <c r="L86" s="21" t="str">
        <f>IF(K86&gt;0,K86*I86,"")</f>
      </c>
      <c r="M86" s="52"/>
      <c r="N86" t="str">
        <f>IF(K86&gt;0,COUNTIF($K$7:K86,"&gt;0"),"")</f>
      </c>
      <c r="P86" t="s">
        <v>293</v>
      </c>
      <c r="Q86" t="s">
        <v>293</v>
      </c>
    </row>
    <row r="87" spans="1:18" customHeight="1" ht="58">
      <c r="A87" s="16"/>
      <c r="B87" s="18" t="s">
        <v>298</v>
      </c>
      <c r="C87" s="17" t="s">
        <v>299</v>
      </c>
      <c r="D87" s="17" t="s">
        <v>300</v>
      </c>
      <c r="E87" s="17" t="s">
        <v>301</v>
      </c>
      <c r="F87" s="19"/>
      <c r="G87" s="20">
        <v>1.0</v>
      </c>
      <c r="H87" s="21"/>
      <c r="I87" s="21">
        <v>128.0</v>
      </c>
      <c r="J87" s="22">
        <v>311.0</v>
      </c>
      <c r="K87" s="50"/>
      <c r="L87" s="21" t="str">
        <f>IF(K87&gt;0,K87*I87,"")</f>
      </c>
      <c r="M87" s="52"/>
      <c r="N87" t="str">
        <f>IF(K87&gt;0,COUNTIF($K$7:K87,"&gt;0"),"")</f>
      </c>
      <c r="O87" t="s">
        <v>302</v>
      </c>
      <c r="P87" t="s">
        <v>297</v>
      </c>
      <c r="Q87" t="s">
        <v>297</v>
      </c>
    </row>
    <row r="88" spans="1:18" customHeight="1" ht="58">
      <c r="A88" s="16"/>
      <c r="B88" s="18" t="s">
        <v>298</v>
      </c>
      <c r="C88" s="17" t="s">
        <v>299</v>
      </c>
      <c r="D88" s="17" t="s">
        <v>304</v>
      </c>
      <c r="E88" s="17" t="s">
        <v>301</v>
      </c>
      <c r="F88" s="19"/>
      <c r="G88" s="20">
        <v>1.0</v>
      </c>
      <c r="H88" s="21"/>
      <c r="I88" s="21">
        <v>128.0</v>
      </c>
      <c r="J88" s="22">
        <v>49.0</v>
      </c>
      <c r="K88" s="50"/>
      <c r="L88" s="21" t="str">
        <f>IF(K88&gt;0,K88*I88,"")</f>
      </c>
      <c r="M88" s="52"/>
      <c r="N88" t="str">
        <f>IF(K88&gt;0,COUNTIF($K$7:K88,"&gt;0"),"")</f>
      </c>
      <c r="O88" t="s">
        <v>305</v>
      </c>
      <c r="P88" t="s">
        <v>303</v>
      </c>
      <c r="Q88" t="s">
        <v>303</v>
      </c>
    </row>
    <row r="89" spans="1:18" customHeight="1" ht="58">
      <c r="A89" s="16"/>
      <c r="B89" s="18" t="s">
        <v>307</v>
      </c>
      <c r="C89" s="17" t="s">
        <v>308</v>
      </c>
      <c r="D89" s="17" t="s">
        <v>309</v>
      </c>
      <c r="E89" s="17" t="s">
        <v>310</v>
      </c>
      <c r="F89" s="19"/>
      <c r="G89" s="20">
        <v>1.0</v>
      </c>
      <c r="H89" s="21"/>
      <c r="I89" s="21">
        <v>251.0</v>
      </c>
      <c r="J89" s="22">
        <v>29.0</v>
      </c>
      <c r="K89" s="50"/>
      <c r="L89" s="21" t="str">
        <f>IF(K89&gt;0,K89*I89,"")</f>
      </c>
      <c r="M89" s="52"/>
      <c r="N89" t="str">
        <f>IF(K89&gt;0,COUNTIF($K$7:K89,"&gt;0"),"")</f>
      </c>
      <c r="O89" t="s">
        <v>311</v>
      </c>
      <c r="P89" t="s">
        <v>306</v>
      </c>
      <c r="Q89" t="s">
        <v>306</v>
      </c>
    </row>
    <row r="90" spans="1:18" customHeight="1" ht="58">
      <c r="A90" s="16"/>
      <c r="B90" s="18" t="s">
        <v>307</v>
      </c>
      <c r="C90" s="17" t="s">
        <v>308</v>
      </c>
      <c r="D90" s="17" t="s">
        <v>313</v>
      </c>
      <c r="E90" s="17" t="s">
        <v>310</v>
      </c>
      <c r="F90" s="19"/>
      <c r="G90" s="20">
        <v>1.0</v>
      </c>
      <c r="H90" s="21"/>
      <c r="I90" s="21">
        <v>251.0</v>
      </c>
      <c r="J90" s="22">
        <v>13.0</v>
      </c>
      <c r="K90" s="50"/>
      <c r="L90" s="21" t="str">
        <f>IF(K90&gt;0,K90*I90,"")</f>
      </c>
      <c r="M90" s="52"/>
      <c r="N90" t="str">
        <f>IF(K90&gt;0,COUNTIF($K$7:K90,"&gt;0"),"")</f>
      </c>
      <c r="O90" t="s">
        <v>314</v>
      </c>
      <c r="P90" t="s">
        <v>312</v>
      </c>
      <c r="Q90" t="s">
        <v>312</v>
      </c>
    </row>
    <row r="91" spans="1:18" customHeight="1" ht="58">
      <c r="A91" s="16"/>
      <c r="B91" s="18" t="s">
        <v>307</v>
      </c>
      <c r="C91" s="17" t="s">
        <v>308</v>
      </c>
      <c r="D91" s="17" t="s">
        <v>169</v>
      </c>
      <c r="E91" s="17" t="s">
        <v>310</v>
      </c>
      <c r="F91" s="19"/>
      <c r="G91" s="20">
        <v>1.0</v>
      </c>
      <c r="H91" s="21"/>
      <c r="I91" s="21">
        <v>251.0</v>
      </c>
      <c r="J91" s="22">
        <v>1.0</v>
      </c>
      <c r="K91" s="50"/>
      <c r="L91" s="21" t="str">
        <f>IF(K91&gt;0,K91*I91,"")</f>
      </c>
      <c r="M91" s="52"/>
      <c r="N91" t="str">
        <f>IF(K91&gt;0,COUNTIF($K$7:K91,"&gt;0"),"")</f>
      </c>
      <c r="O91" t="s">
        <v>316</v>
      </c>
      <c r="P91" t="s">
        <v>315</v>
      </c>
      <c r="Q91" t="s">
        <v>315</v>
      </c>
    </row>
    <row r="92" spans="1:18" customHeight="1" ht="58">
      <c r="A92" s="16"/>
      <c r="B92" s="18" t="s">
        <v>307</v>
      </c>
      <c r="C92" s="17" t="s">
        <v>308</v>
      </c>
      <c r="D92" s="17" t="s">
        <v>318</v>
      </c>
      <c r="E92" s="17" t="s">
        <v>310</v>
      </c>
      <c r="F92" s="19"/>
      <c r="G92" s="20">
        <v>1.0</v>
      </c>
      <c r="H92" s="21"/>
      <c r="I92" s="21">
        <v>251.0</v>
      </c>
      <c r="J92" s="22">
        <v>2.0</v>
      </c>
      <c r="K92" s="50"/>
      <c r="L92" s="21" t="str">
        <f>IF(K92&gt;0,K92*I92,"")</f>
      </c>
      <c r="M92" s="52"/>
      <c r="N92" t="str">
        <f>IF(K92&gt;0,COUNTIF($K$7:K92,"&gt;0"),"")</f>
      </c>
      <c r="O92" t="s">
        <v>319</v>
      </c>
      <c r="P92" t="s">
        <v>317</v>
      </c>
      <c r="Q92" t="s">
        <v>317</v>
      </c>
    </row>
    <row r="93" spans="1:18" customHeight="1" ht="58">
      <c r="A93" s="16"/>
      <c r="B93" s="18" t="s">
        <v>307</v>
      </c>
      <c r="C93" s="17" t="s">
        <v>308</v>
      </c>
      <c r="D93" s="17" t="s">
        <v>165</v>
      </c>
      <c r="E93" s="17" t="s">
        <v>310</v>
      </c>
      <c r="F93" s="19"/>
      <c r="G93" s="20">
        <v>1.0</v>
      </c>
      <c r="H93" s="21"/>
      <c r="I93" s="21">
        <v>251.0</v>
      </c>
      <c r="J93" s="22">
        <v>76.0</v>
      </c>
      <c r="K93" s="50"/>
      <c r="L93" s="21" t="str">
        <f>IF(K93&gt;0,K93*I93,"")</f>
      </c>
      <c r="M93" s="52"/>
      <c r="N93" t="str">
        <f>IF(K93&gt;0,COUNTIF($K$7:K93,"&gt;0"),"")</f>
      </c>
      <c r="O93" t="s">
        <v>321</v>
      </c>
      <c r="P93" t="s">
        <v>320</v>
      </c>
      <c r="Q93" t="s">
        <v>320</v>
      </c>
    </row>
    <row r="94" spans="1:18" customHeight="1" ht="58">
      <c r="A94" s="16"/>
      <c r="B94" s="18" t="s">
        <v>307</v>
      </c>
      <c r="C94" s="17" t="s">
        <v>308</v>
      </c>
      <c r="D94" s="17" t="s">
        <v>323</v>
      </c>
      <c r="E94" s="17" t="s">
        <v>310</v>
      </c>
      <c r="F94" s="19"/>
      <c r="G94" s="20">
        <v>1.0</v>
      </c>
      <c r="H94" s="21"/>
      <c r="I94" s="21">
        <v>251.0</v>
      </c>
      <c r="J94" s="22">
        <v>72.0</v>
      </c>
      <c r="K94" s="50"/>
      <c r="L94" s="21" t="str">
        <f>IF(K94&gt;0,K94*I94,"")</f>
      </c>
      <c r="M94" s="52"/>
      <c r="N94" t="str">
        <f>IF(K94&gt;0,COUNTIF($K$7:K94,"&gt;0"),"")</f>
      </c>
      <c r="O94" t="s">
        <v>324</v>
      </c>
      <c r="P94" t="s">
        <v>322</v>
      </c>
      <c r="Q94" t="s">
        <v>322</v>
      </c>
    </row>
    <row r="95" spans="1:18" customHeight="1" ht="58">
      <c r="A95" s="16"/>
      <c r="B95" s="18" t="s">
        <v>307</v>
      </c>
      <c r="C95" s="17" t="s">
        <v>308</v>
      </c>
      <c r="D95" s="17" t="s">
        <v>326</v>
      </c>
      <c r="E95" s="17" t="s">
        <v>310</v>
      </c>
      <c r="F95" s="19"/>
      <c r="G95" s="20">
        <v>1.0</v>
      </c>
      <c r="H95" s="21"/>
      <c r="I95" s="21">
        <v>251.0</v>
      </c>
      <c r="J95" s="22">
        <v>3.0</v>
      </c>
      <c r="K95" s="50"/>
      <c r="L95" s="21" t="str">
        <f>IF(K95&gt;0,K95*I95,"")</f>
      </c>
      <c r="M95" s="52"/>
      <c r="N95" t="str">
        <f>IF(K95&gt;0,COUNTIF($K$7:K95,"&gt;0"),"")</f>
      </c>
      <c r="O95" t="s">
        <v>327</v>
      </c>
      <c r="P95" t="s">
        <v>325</v>
      </c>
      <c r="Q95" t="s">
        <v>325</v>
      </c>
    </row>
    <row r="96" spans="1:18" customHeight="1" ht="58">
      <c r="A96" s="16"/>
      <c r="B96" s="18" t="s">
        <v>307</v>
      </c>
      <c r="C96" s="17" t="s">
        <v>308</v>
      </c>
      <c r="D96" s="17" t="s">
        <v>329</v>
      </c>
      <c r="E96" s="17" t="s">
        <v>310</v>
      </c>
      <c r="F96" s="19"/>
      <c r="G96" s="20">
        <v>1.0</v>
      </c>
      <c r="H96" s="21"/>
      <c r="I96" s="21">
        <v>251.0</v>
      </c>
      <c r="J96" s="22">
        <v>22.0</v>
      </c>
      <c r="K96" s="50"/>
      <c r="L96" s="21" t="str">
        <f>IF(K96&gt;0,K96*I96,"")</f>
      </c>
      <c r="M96" s="52"/>
      <c r="N96" t="str">
        <f>IF(K96&gt;0,COUNTIF($K$7:K96,"&gt;0"),"")</f>
      </c>
      <c r="O96" t="s">
        <v>330</v>
      </c>
      <c r="P96" t="s">
        <v>328</v>
      </c>
      <c r="Q96" t="s">
        <v>328</v>
      </c>
    </row>
    <row r="97" spans="1:18" customHeight="1" ht="58">
      <c r="A97" s="16"/>
      <c r="B97" s="18" t="s">
        <v>307</v>
      </c>
      <c r="C97" s="17" t="s">
        <v>308</v>
      </c>
      <c r="D97" s="17" t="s">
        <v>332</v>
      </c>
      <c r="E97" s="17" t="s">
        <v>310</v>
      </c>
      <c r="F97" s="19"/>
      <c r="G97" s="20">
        <v>1.0</v>
      </c>
      <c r="H97" s="21"/>
      <c r="I97" s="21">
        <v>251.0</v>
      </c>
      <c r="J97" s="22">
        <v>42.0</v>
      </c>
      <c r="K97" s="50"/>
      <c r="L97" s="21" t="str">
        <f>IF(K97&gt;0,K97*I97,"")</f>
      </c>
      <c r="M97" s="52"/>
      <c r="N97" t="str">
        <f>IF(K97&gt;0,COUNTIF($K$7:K97,"&gt;0"),"")</f>
      </c>
      <c r="O97" t="s">
        <v>333</v>
      </c>
      <c r="P97" t="s">
        <v>331</v>
      </c>
      <c r="Q97" t="s">
        <v>331</v>
      </c>
    </row>
    <row r="98" spans="1:18" customHeight="1" ht="58">
      <c r="A98" s="16"/>
      <c r="B98" s="18" t="s">
        <v>307</v>
      </c>
      <c r="C98" s="17" t="s">
        <v>308</v>
      </c>
      <c r="D98" s="17" t="s">
        <v>335</v>
      </c>
      <c r="E98" s="17" t="s">
        <v>310</v>
      </c>
      <c r="F98" s="19"/>
      <c r="G98" s="20">
        <v>1.0</v>
      </c>
      <c r="H98" s="21"/>
      <c r="I98" s="21">
        <v>251.0</v>
      </c>
      <c r="J98" s="22">
        <v>46.0</v>
      </c>
      <c r="K98" s="50"/>
      <c r="L98" s="21" t="str">
        <f>IF(K98&gt;0,K98*I98,"")</f>
      </c>
      <c r="M98" s="52"/>
      <c r="N98" t="str">
        <f>IF(K98&gt;0,COUNTIF($K$7:K98,"&gt;0"),"")</f>
      </c>
      <c r="O98" t="s">
        <v>336</v>
      </c>
      <c r="P98" t="s">
        <v>334</v>
      </c>
      <c r="Q98" t="s">
        <v>334</v>
      </c>
    </row>
    <row r="99" spans="1:18" customHeight="1" ht="58">
      <c r="A99" s="16"/>
      <c r="B99" s="18" t="s">
        <v>307</v>
      </c>
      <c r="C99" s="17" t="s">
        <v>308</v>
      </c>
      <c r="D99" s="17" t="s">
        <v>172</v>
      </c>
      <c r="E99" s="17" t="s">
        <v>310</v>
      </c>
      <c r="F99" s="19"/>
      <c r="G99" s="20">
        <v>1.0</v>
      </c>
      <c r="H99" s="21"/>
      <c r="I99" s="21">
        <v>251.0</v>
      </c>
      <c r="J99" s="22">
        <v>113.0</v>
      </c>
      <c r="K99" s="50"/>
      <c r="L99" s="21" t="str">
        <f>IF(K99&gt;0,K99*I99,"")</f>
      </c>
      <c r="M99" s="52"/>
      <c r="N99" t="str">
        <f>IF(K99&gt;0,COUNTIF($K$7:K99,"&gt;0"),"")</f>
      </c>
      <c r="O99" t="s">
        <v>338</v>
      </c>
      <c r="P99" t="s">
        <v>337</v>
      </c>
      <c r="Q99" t="s">
        <v>337</v>
      </c>
    </row>
    <row r="100" spans="1:18" customHeight="1" ht="58">
      <c r="A100" s="16"/>
      <c r="B100" s="18" t="s">
        <v>307</v>
      </c>
      <c r="C100" s="17" t="s">
        <v>308</v>
      </c>
      <c r="D100" s="17" t="s">
        <v>340</v>
      </c>
      <c r="E100" s="17" t="s">
        <v>310</v>
      </c>
      <c r="F100" s="19"/>
      <c r="G100" s="20">
        <v>1.0</v>
      </c>
      <c r="H100" s="21"/>
      <c r="I100" s="21">
        <v>251.0</v>
      </c>
      <c r="J100" s="22">
        <v>4.0</v>
      </c>
      <c r="K100" s="50"/>
      <c r="L100" s="21" t="str">
        <f>IF(K100&gt;0,K100*I100,"")</f>
      </c>
      <c r="M100" s="52"/>
      <c r="N100" t="str">
        <f>IF(K100&gt;0,COUNTIF($K$7:K100,"&gt;0"),"")</f>
      </c>
      <c r="O100" t="s">
        <v>341</v>
      </c>
      <c r="P100" t="s">
        <v>339</v>
      </c>
      <c r="Q100" t="s">
        <v>339</v>
      </c>
    </row>
    <row r="102" spans="1:18">
      <c r="I102" s="30" t="s">
        <v>342</v>
      </c>
      <c r="J102" s="33"/>
      <c r="K102" s="36" t="str">
        <f>COUNTIF(K7:K100,"&gt;0")</f>
      </c>
    </row>
    <row r="103" spans="1:18">
      <c r="I103" s="31" t="s">
        <v>343</v>
      </c>
      <c r="J103" s="34"/>
      <c r="K103" s="37" t="str">
        <f>SUM(K7:K100)</f>
      </c>
    </row>
    <row r="104" spans="1:18">
      <c r="I104" s="32" t="s">
        <v>344</v>
      </c>
      <c r="J104" s="35"/>
      <c r="K104" s="38" t="str">
        <f>SUM(L7:L100)</f>
      </c>
    </row>
  </sheetData>
  <sheetProtection sheet="1"/>
  <mergeCells>
    <mergeCell ref="A1:M1"/>
    <mergeCell ref="B2:C2"/>
    <mergeCell ref="B3:C3"/>
    <mergeCell ref="B4:C4"/>
    <mergeCell ref="B5:C5"/>
    <mergeCell ref="E2:F2"/>
    <mergeCell ref="E3:F3"/>
    <mergeCell ref="E4:F4"/>
    <mergeCell ref="E5:F5"/>
    <mergeCell ref="G2:I2"/>
    <mergeCell ref="G3:I4"/>
    <mergeCell ref="J2:L5"/>
    <mergeCell ref="A7:M7"/>
    <mergeCell ref="I102:J102"/>
    <mergeCell ref="I103:J103"/>
    <mergeCell ref="I104:J104"/>
    <mergeCell ref="G5:I5"/>
  </mergeCells>
  <conditionalFormatting sqref="A7:M100">
    <cfRule type="expression" dxfId="0" priority="1">
      <formula>AND($G$3&lt;&gt;"",ISNUMBER(SEARCH($G$3,$B7&amp;" "&amp;$C7&amp;" "&amp;$D7&amp;" "&amp;$E7)))</formula>
    </cfRule>
    <cfRule type="expression" dxfId="1" priority="2">
      <formula>$K7&gt;0</formula>
    </cfRule>
  </conditionalFormatting>
  <conditionalFormatting sqref="K7:K100">
    <cfRule type="expression" dxfId="2" priority="3">
      <formula>AND($K7&gt;$J7,$K7&gt;0)</formula>
    </cfRule>
  </conditionalFormatting>
  <dataValidations count="1"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8:K100">
      <formula1>0</formula1>
    </dataValidation>
  </dataValidations>
  <hyperlinks>
    <hyperlink ref="B8" r:id="rId_hyperlink_1" tooltip="Открыть карточку товара на сайте" display="Открыть карточку товара на сайте"/>
    <hyperlink ref="B9" r:id="rId_hyperlink_2" tooltip="Открыть карточку товара на сайте" display="Открыть карточку товара на сайте"/>
    <hyperlink ref="B10" r:id="rId_hyperlink_3" tooltip="Открыть карточку товара на сайте" display="Открыть карточку товара на сайте"/>
    <hyperlink ref="B11" r:id="rId_hyperlink_4" tooltip="Открыть карточку товара на сайте" display="Открыть карточку товара на сайте"/>
    <hyperlink ref="B12" r:id="rId_hyperlink_5" tooltip="Открыть карточку товара на сайте" display="Открыть карточку товара на сайте"/>
    <hyperlink ref="B13" r:id="rId_hyperlink_6" tooltip="Открыть карточку товара на сайте" display="Открыть карточку товара на сайте"/>
    <hyperlink ref="B14" r:id="rId_hyperlink_7" tooltip="Открыть карточку товара на сайте" display="Открыть карточку товара на сайте"/>
    <hyperlink ref="B15" r:id="rId_hyperlink_8" tooltip="Открыть карточку товара на сайте" display="Открыть карточку товара на сайте"/>
    <hyperlink ref="B16" r:id="rId_hyperlink_9" tooltip="Открыть карточку товара на сайте" display="Открыть карточку товара на сайте"/>
    <hyperlink ref="B17" r:id="rId_hyperlink_10" tooltip="Открыть карточку товара на сайте" display="Открыть карточку товара на сайте"/>
    <hyperlink ref="B18" r:id="rId_hyperlink_11" tooltip="Открыть карточку товара на сайте" display="Открыть карточку товара на сайте"/>
    <hyperlink ref="B19" r:id="rId_hyperlink_12" tooltip="Открыть карточку товара на сайте" display="Открыть карточку товара на сайте"/>
    <hyperlink ref="B20" r:id="rId_hyperlink_13" tooltip="Открыть карточку товара на сайте" display="Открыть карточку товара на сайте"/>
    <hyperlink ref="B21" r:id="rId_hyperlink_14" tooltip="Открыть карточку товара на сайте" display="Открыть карточку товара на сайте"/>
    <hyperlink ref="B22" r:id="rId_hyperlink_15" tooltip="Открыть карточку товара на сайте" display="Открыть карточку товара на сайте"/>
    <hyperlink ref="B23" r:id="rId_hyperlink_16" tooltip="Открыть карточку товара на сайте" display="Открыть карточку товара на сайте"/>
    <hyperlink ref="B24" r:id="rId_hyperlink_17" tooltip="Открыть карточку товара на сайте" display="Открыть карточку товара на сайте"/>
    <hyperlink ref="B25" r:id="rId_hyperlink_18" tooltip="Открыть карточку товара на сайте" display="Открыть карточку товара на сайте"/>
    <hyperlink ref="B26" r:id="rId_hyperlink_19" tooltip="Открыть карточку товара на сайте" display="Открыть карточку товара на сайте"/>
    <hyperlink ref="B27" r:id="rId_hyperlink_20" tooltip="Открыть карточку товара на сайте" display="Открыть карточку товара на сайте"/>
    <hyperlink ref="B28" r:id="rId_hyperlink_21" tooltip="Открыть карточку товара на сайте" display="Открыть карточку товара на сайте"/>
    <hyperlink ref="B29" r:id="rId_hyperlink_22" tooltip="Открыть карточку товара на сайте" display="Открыть карточку товара на сайте"/>
    <hyperlink ref="B30" r:id="rId_hyperlink_23" tooltip="Открыть карточку товара на сайте" display="Открыть карточку товара на сайте"/>
    <hyperlink ref="B31" r:id="rId_hyperlink_24" tooltip="Открыть карточку товара на сайте" display="Открыть карточку товара на сайте"/>
    <hyperlink ref="B32" r:id="rId_hyperlink_25" tooltip="Открыть карточку товара на сайте" display="Открыть карточку товара на сайте"/>
    <hyperlink ref="B33" r:id="rId_hyperlink_26" tooltip="Открыть карточку товара на сайте" display="Открыть карточку товара на сайте"/>
    <hyperlink ref="B34" r:id="rId_hyperlink_27" tooltip="Открыть карточку товара на сайте" display="Открыть карточку товара на сайте"/>
    <hyperlink ref="B35" r:id="rId_hyperlink_28" tooltip="Открыть карточку товара на сайте" display="Открыть карточку товара на сайте"/>
    <hyperlink ref="B36" r:id="rId_hyperlink_29" tooltip="Открыть карточку товара на сайте" display="Открыть карточку товара на сайте"/>
    <hyperlink ref="B37" r:id="rId_hyperlink_30" tooltip="Открыть карточку товара на сайте" display="Открыть карточку товара на сайте"/>
    <hyperlink ref="B38" r:id="rId_hyperlink_31" tooltip="Открыть карточку товара на сайте" display="Открыть карточку товара на сайте"/>
    <hyperlink ref="B39" r:id="rId_hyperlink_32" tooltip="Открыть карточку товара на сайте" display="Открыть карточку товара на сайте"/>
    <hyperlink ref="B40" r:id="rId_hyperlink_33" tooltip="Открыть карточку товара на сайте" display="Открыть карточку товара на сайте"/>
    <hyperlink ref="B41" r:id="rId_hyperlink_34" tooltip="Открыть карточку товара на сайте" display="Открыть карточку товара на сайте"/>
    <hyperlink ref="B42" r:id="rId_hyperlink_35" tooltip="Открыть карточку товара на сайте" display="Открыть карточку товара на сайте"/>
    <hyperlink ref="B43" r:id="rId_hyperlink_36" tooltip="Открыть карточку товара на сайте" display="Открыть карточку товара на сайте"/>
    <hyperlink ref="B44" r:id="rId_hyperlink_37" tooltip="Открыть карточку товара на сайте" display="Открыть карточку товара на сайте"/>
    <hyperlink ref="B45" r:id="rId_hyperlink_38" tooltip="Открыть карточку товара на сайте" display="Открыть карточку товара на сайте"/>
    <hyperlink ref="B46" r:id="rId_hyperlink_39" tooltip="Открыть карточку товара на сайте" display="Открыть карточку товара на сайте"/>
    <hyperlink ref="B47" r:id="rId_hyperlink_40" tooltip="Открыть карточку товара на сайте" display="Открыть карточку товара на сайте"/>
    <hyperlink ref="B48" r:id="rId_hyperlink_41" tooltip="Открыть карточку товара на сайте" display="Открыть карточку товара на сайте"/>
    <hyperlink ref="B49" r:id="rId_hyperlink_42" tooltip="Открыть карточку товара на сайте" display="Открыть карточку товара на сайте"/>
    <hyperlink ref="B50" r:id="rId_hyperlink_43" tooltip="Открыть карточку товара на сайте" display="Открыть карточку товара на сайте"/>
    <hyperlink ref="B51" r:id="rId_hyperlink_44" tooltip="Открыть карточку товара на сайте" display="Открыть карточку товара на сайте"/>
    <hyperlink ref="B52" r:id="rId_hyperlink_45" tooltip="Открыть карточку товара на сайте" display="Открыть карточку товара на сайте"/>
    <hyperlink ref="B53" r:id="rId_hyperlink_46" tooltip="Открыть карточку товара на сайте" display="Открыть карточку товара на сайте"/>
    <hyperlink ref="B54" r:id="rId_hyperlink_47" tooltip="Открыть карточку товара на сайте" display="Открыть карточку товара на сайте"/>
    <hyperlink ref="B55" r:id="rId_hyperlink_48" tooltip="Открыть карточку товара на сайте" display="Открыть карточку товара на сайте"/>
    <hyperlink ref="B56" r:id="rId_hyperlink_49" tooltip="Открыть карточку товара на сайте" display="Открыть карточку товара на сайте"/>
    <hyperlink ref="B57" r:id="rId_hyperlink_50" tooltip="Открыть карточку товара на сайте" display="Открыть карточку товара на сайте"/>
    <hyperlink ref="B58" r:id="rId_hyperlink_51" tooltip="Открыть карточку товара на сайте" display="Открыть карточку товара на сайте"/>
    <hyperlink ref="B59" r:id="rId_hyperlink_52" tooltip="Открыть карточку товара на сайте" display="Открыть карточку товара на сайте"/>
    <hyperlink ref="B60" r:id="rId_hyperlink_53" tooltip="Открыть карточку товара на сайте" display="Открыть карточку товара на сайте"/>
    <hyperlink ref="B61" r:id="rId_hyperlink_54" tooltip="Открыть карточку товара на сайте" display="Открыть карточку товара на сайте"/>
    <hyperlink ref="B62" r:id="rId_hyperlink_55" tooltip="Открыть карточку товара на сайте" display="Открыть карточку товара на сайте"/>
    <hyperlink ref="B63" r:id="rId_hyperlink_56" tooltip="Открыть карточку товара на сайте" display="Открыть карточку товара на сайте"/>
    <hyperlink ref="B64" r:id="rId_hyperlink_57" tooltip="Открыть карточку товара на сайте" display="Открыть карточку товара на сайте"/>
    <hyperlink ref="B65" r:id="rId_hyperlink_58" tooltip="Открыть карточку товара на сайте" display="Открыть карточку товара на сайте"/>
    <hyperlink ref="B66" r:id="rId_hyperlink_59" tooltip="Открыть карточку товара на сайте" display="Открыть карточку товара на сайте"/>
    <hyperlink ref="B67" r:id="rId_hyperlink_60" tooltip="Открыть карточку товара на сайте" display="Открыть карточку товара на сайте"/>
    <hyperlink ref="B68" r:id="rId_hyperlink_61" tooltip="Открыть карточку товара на сайте" display="Открыть карточку товара на сайте"/>
    <hyperlink ref="B69" r:id="rId_hyperlink_62" tooltip="Открыть карточку товара на сайте" display="Открыть карточку товара на сайте"/>
    <hyperlink ref="B70" r:id="rId_hyperlink_63" tooltip="Открыть карточку товара на сайте" display="Открыть карточку товара на сайте"/>
    <hyperlink ref="B71" r:id="rId_hyperlink_64" tooltip="Открыть карточку товара на сайте" display="Открыть карточку товара на сайте"/>
    <hyperlink ref="B72" r:id="rId_hyperlink_65" tooltip="Открыть карточку товара на сайте" display="Открыть карточку товара на сайте"/>
    <hyperlink ref="B73" r:id="rId_hyperlink_66" tooltip="Открыть карточку товара на сайте" display="Открыть карточку товара на сайте"/>
    <hyperlink ref="B74" r:id="rId_hyperlink_67" tooltip="Открыть карточку товара на сайте" display="Открыть карточку товара на сайте"/>
    <hyperlink ref="B75" r:id="rId_hyperlink_68" tooltip="Открыть карточку товара на сайте" display="Открыть карточку товара на сайте"/>
    <hyperlink ref="B76" r:id="rId_hyperlink_69" tooltip="Открыть карточку товара на сайте" display="Открыть карточку товара на сайте"/>
    <hyperlink ref="B77" r:id="rId_hyperlink_70" tooltip="Открыть карточку товара на сайте" display="Открыть карточку товара на сайте"/>
    <hyperlink ref="B78" r:id="rId_hyperlink_71" tooltip="Открыть карточку товара на сайте" display="Открыть карточку товара на сайте"/>
    <hyperlink ref="B79" r:id="rId_hyperlink_72" tooltip="Открыть карточку товара на сайте" display="Открыть карточку товара на сайте"/>
    <hyperlink ref="B80" r:id="rId_hyperlink_73" tooltip="Открыть карточку товара на сайте" display="Открыть карточку товара на сайте"/>
    <hyperlink ref="B81" r:id="rId_hyperlink_74" tooltip="Открыть карточку товара на сайте" display="Открыть карточку товара на сайте"/>
    <hyperlink ref="B82" r:id="rId_hyperlink_75" tooltip="Открыть карточку товара на сайте" display="Открыть карточку товара на сайте"/>
    <hyperlink ref="B83" r:id="rId_hyperlink_76" tooltip="Открыть карточку товара на сайте" display="Открыть карточку товара на сайте"/>
    <hyperlink ref="B84" r:id="rId_hyperlink_77" tooltip="Открыть карточку товара на сайте" display="Открыть карточку товара на сайте"/>
    <hyperlink ref="B85" r:id="rId_hyperlink_78" tooltip="Открыть карточку товара на сайте" display="Открыть карточку товара на сайте"/>
    <hyperlink ref="B86" r:id="rId_hyperlink_79" tooltip="Открыть карточку товара на сайте" display="Открыть карточку товара на сайте"/>
    <hyperlink ref="B87" r:id="rId_hyperlink_80" tooltip="Открыть карточку товара на сайте" display="Открыть карточку товара на сайте"/>
    <hyperlink ref="B88" r:id="rId_hyperlink_81" tooltip="Открыть карточку товара на сайте" display="Открыть карточку товара на сайте"/>
    <hyperlink ref="B89" r:id="rId_hyperlink_82" tooltip="Открыть карточку товара на сайте" display="Открыть карточку товара на сайте"/>
    <hyperlink ref="B90" r:id="rId_hyperlink_83" tooltip="Открыть карточку товара на сайте" display="Открыть карточку товара на сайте"/>
    <hyperlink ref="B91" r:id="rId_hyperlink_84" tooltip="Открыть карточку товара на сайте" display="Открыть карточку товара на сайте"/>
    <hyperlink ref="B92" r:id="rId_hyperlink_85" tooltip="Открыть карточку товара на сайте" display="Открыть карточку товара на сайте"/>
    <hyperlink ref="B93" r:id="rId_hyperlink_86" tooltip="Открыть карточку товара на сайте" display="Открыть карточку товара на сайте"/>
    <hyperlink ref="B94" r:id="rId_hyperlink_87" tooltip="Открыть карточку товара на сайте" display="Открыть карточку товара на сайте"/>
    <hyperlink ref="B95" r:id="rId_hyperlink_88" tooltip="Открыть карточку товара на сайте" display="Открыть карточку товара на сайте"/>
    <hyperlink ref="B96" r:id="rId_hyperlink_89" tooltip="Открыть карточку товара на сайте" display="Открыть карточку товара на сайте"/>
    <hyperlink ref="B97" r:id="rId_hyperlink_90" tooltip="Открыть карточку товара на сайте" display="Открыть карточку товара на сайте"/>
    <hyperlink ref="B98" r:id="rId_hyperlink_91" tooltip="Открыть карточку товара на сайте" display="Открыть карточку товара на сайте"/>
    <hyperlink ref="B99" r:id="rId_hyperlink_92" tooltip="Открыть карточку товара на сайте" display="Открыть карточку товара на сайте"/>
    <hyperlink ref="B100" r:id="rId_hyperlink_93" tooltip="Открыть карточку товара на сайте" display="Открыть карточку товара на сайте"/>
  </hyperlinks>
  <printOptions gridLines="false" gridLinesSet="true"/>
  <pageMargins left="0.4" right="0.4" top="0.5" bottom="0.5" header="0.3" footer="0.3"/>
  <pageSetup paperSize="1" orientation="landscape" scale="100" fitToHeight="0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101"/>
  <sheetViews>
    <sheetView tabSelected="0" workbookViewId="0" showGridLines="true" showRowColHeaders="1">
      <pane ySplit="8" activePane="bottomLeft" state="frozen" topLeftCell="A9"/>
      <selection pane="bottomLeft" activeCell="K9" sqref="K9"/>
    </sheetView>
  </sheetViews>
  <sheetFormatPr defaultRowHeight="14.4" outlineLevelRow="0" outlineLevelCol="0"/>
  <cols>
    <col min="1" max="1" width="11" customWidth="true" style="0"/>
    <col min="2" max="2" width="12" customWidth="true" style="0"/>
    <col min="3" max="3" width="26" customWidth="true" style="0"/>
    <col min="4" max="4" width="32" customWidth="true" style="0"/>
    <col min="5" max="5" width="8" customWidth="true" style="0"/>
    <col min="6" max="6" width="12" customWidth="true" style="0"/>
    <col min="7" max="7" width="11" customWidth="true" style="0"/>
    <col min="8" max="8" width="14" customWidth="true" style="0"/>
    <col min="9" max="9" width="26" customWidth="true" style="0"/>
    <col min="10" max="10" width="9.10" hidden="true" style="0"/>
    <col min="12" max="12" width="9.10" hidden="true" style="0"/>
  </cols>
  <sheetData>
    <row r="1" spans="1:12" customHeight="1" ht="28">
      <c r="A1" s="53" t="s">
        <v>349</v>
      </c>
    </row>
    <row r="2" spans="1:12" customHeight="1" ht="26">
      <c r="A2" s="54" t="s">
        <v>350</v>
      </c>
    </row>
    <row r="3" spans="1:12">
      <c r="A3" s="12" t="s">
        <v>1</v>
      </c>
      <c r="B3" s="13" t="str">
        <f>IF('Прайс и заказ'!B2="","",'Прайс и заказ'!B2)</f>
      </c>
      <c r="C3" s="12" t="s">
        <v>3</v>
      </c>
      <c r="D3" s="13" t="str">
        <f>IF('Прайс и заказ'!B4="","",'Прайс и заказ'!B4)</f>
      </c>
      <c r="E3" s="12" t="s">
        <v>4</v>
      </c>
      <c r="F3" s="13" t="str">
        <f>IF('Прайс и заказ'!B5="","",'Прайс и заказ'!B5)</f>
      </c>
      <c r="G3" s="13"/>
      <c r="H3" s="13"/>
    </row>
    <row r="4" spans="1:12">
      <c r="A4" s="12" t="s">
        <v>2</v>
      </c>
      <c r="B4" s="13" t="str">
        <f>IF('Прайс и заказ'!B3="","",'Прайс и заказ'!B3)</f>
      </c>
      <c r="C4" s="12" t="s">
        <v>5</v>
      </c>
      <c r="D4" s="13" t="str">
        <f>IF('Прайс и заказ'!E2="","",'Прайс и заказ'!E2)</f>
      </c>
      <c r="E4" s="13"/>
      <c r="F4" s="13"/>
      <c r="G4" s="13"/>
      <c r="H4" s="13"/>
    </row>
    <row r="5" spans="1:12">
      <c r="A5" s="12" t="s">
        <v>6</v>
      </c>
      <c r="B5" s="13" t="str">
        <f>IF('Прайс и заказ'!E3="","",'Прайс и заказ'!E3)</f>
      </c>
      <c r="C5" s="12" t="s">
        <v>8</v>
      </c>
      <c r="D5" s="13" t="str">
        <f>IF('Прайс и заказ'!E4="","",'Прайс и заказ'!E4)</f>
      </c>
      <c r="E5" s="13"/>
      <c r="F5" s="13"/>
      <c r="G5" s="13"/>
      <c r="H5" s="13"/>
    </row>
    <row r="6" spans="1:12" customHeight="1" ht="22">
      <c r="A6" s="55" t="s">
        <v>351</v>
      </c>
      <c r="B6" s="56"/>
      <c r="C6" s="57" t="str">
        <f>'Прайс и заказ'!K102</f>
      </c>
      <c r="D6" s="58" t="s">
        <v>343</v>
      </c>
      <c r="E6" s="56"/>
      <c r="F6" s="57" t="str">
        <f>'Прайс и заказ'!K103</f>
      </c>
      <c r="G6" s="58" t="s">
        <v>344</v>
      </c>
      <c r="H6" s="56"/>
      <c r="I6" s="59" t="str">
        <f>'Прайс и заказ'!K104</f>
      </c>
    </row>
    <row r="8" spans="1:12" customHeight="1" ht="24">
      <c r="A8" s="60" t="s">
        <v>14</v>
      </c>
      <c r="B8" s="60" t="s">
        <v>15</v>
      </c>
      <c r="C8" s="60" t="s">
        <v>16</v>
      </c>
      <c r="D8" s="60" t="s">
        <v>17</v>
      </c>
      <c r="E8" s="60" t="s">
        <v>19</v>
      </c>
      <c r="F8" s="60" t="s">
        <v>352</v>
      </c>
      <c r="G8" s="60" t="s">
        <v>23</v>
      </c>
      <c r="H8" s="60" t="s">
        <v>24</v>
      </c>
      <c r="I8" s="60" t="s">
        <v>5</v>
      </c>
      <c r="J8" s="40" t="s">
        <v>345</v>
      </c>
      <c r="L8" s="40" t="s">
        <v>347</v>
      </c>
    </row>
    <row r="9" spans="1:12" customHeight="1" ht="40">
      <c r="A9" s="13" t="str">
        <f>IF($J9=0,"",IFERROR(_xlfn.IMAGE(INDEX('Прайс и заказ'!$O:$O,$J9)),""))</f>
      </c>
      <c r="B9" s="61" t="str">
        <f>IF($J9=0,"",IF(INDEX('Прайс и заказ'!B:B,$J9)="","",INDEX('Прайс и заказ'!B:B,$J9)))</f>
      </c>
      <c r="C9" s="64" t="str">
        <f>IF($J9=0,"",IF(INDEX('Прайс и заказ'!C:C,$J9)="","",INDEX('Прайс и заказ'!C:C,$J9)))</f>
      </c>
      <c r="D9" s="64" t="str">
        <f>IF($J9=0,"",IF(INDEX('Прайс и заказ'!D:D,$J9)="","",INDEX('Прайс и заказ'!D:D,$J9)))</f>
      </c>
      <c r="E9" s="61" t="str">
        <f>IF($J9=0,"",IF(INDEX('Прайс и заказ'!F:F,$J9)="","",INDEX('Прайс и заказ'!F:F,$J9)))</f>
      </c>
      <c r="F9" s="62" t="str">
        <f>IF($J9=0,"",IF(INDEX('Прайс и заказ'!I:I,$J9)="","",INDEX('Прайс и заказ'!I:I,$J9)))</f>
      </c>
      <c r="G9" s="63" t="str">
        <f>IF($J9=0,"",IF(INDEX('Прайс и заказ'!K:K,$J9)="","",INDEX('Прайс и заказ'!K:K,$J9)))</f>
      </c>
      <c r="H9" s="62" t="str">
        <f>IF($J9=0,"",IF(INDEX('Прайс и заказ'!L:L,$J9)="","",INDEX('Прайс и заказ'!L:L,$J9)))</f>
      </c>
      <c r="I9" s="13" t="str">
        <f>IF($J9=0,"",IF(INDEX('Прайс и заказ'!M:M,$J9)="","",INDEX('Прайс и заказ'!M:M,$J9)))</f>
      </c>
      <c r="J9" t="str">
        <f>IFERROR(MATCH(1,'Прайс и заказ'!$N$7:$N$100,0)+6,0)</f>
      </c>
      <c r="K9" s="65" t="str">
        <f>IF($J9=0,"← Пока ничего не выбрано — заполните колонку «Заказать» на листе «Прайс и заказ»","")</f>
      </c>
      <c r="L9" t="str">
        <f>IF($J9=0,"",IF(INDEX('Прайс и заказ'!Q:Q,$J9)="","",INDEX('Прайс и заказ'!Q:Q,$J9)))</f>
      </c>
    </row>
    <row r="10" spans="1:12" customHeight="1" ht="40">
      <c r="A10" s="13" t="str">
        <f>IF($J10=0,"",IFERROR(_xlfn.IMAGE(INDEX('Прайс и заказ'!$O:$O,$J10)),""))</f>
      </c>
      <c r="B10" s="61" t="str">
        <f>IF($J10=0,"",IF(INDEX('Прайс и заказ'!B:B,$J10)="","",INDEX('Прайс и заказ'!B:B,$J10)))</f>
      </c>
      <c r="C10" s="64" t="str">
        <f>IF($J10=0,"",IF(INDEX('Прайс и заказ'!C:C,$J10)="","",INDEX('Прайс и заказ'!C:C,$J10)))</f>
      </c>
      <c r="D10" s="64" t="str">
        <f>IF($J10=0,"",IF(INDEX('Прайс и заказ'!D:D,$J10)="","",INDEX('Прайс и заказ'!D:D,$J10)))</f>
      </c>
      <c r="E10" s="61" t="str">
        <f>IF($J10=0,"",IF(INDEX('Прайс и заказ'!F:F,$J10)="","",INDEX('Прайс и заказ'!F:F,$J10)))</f>
      </c>
      <c r="F10" s="62" t="str">
        <f>IF($J10=0,"",IF(INDEX('Прайс и заказ'!I:I,$J10)="","",INDEX('Прайс и заказ'!I:I,$J10)))</f>
      </c>
      <c r="G10" s="63" t="str">
        <f>IF($J10=0,"",IF(INDEX('Прайс и заказ'!K:K,$J10)="","",INDEX('Прайс и заказ'!K:K,$J10)))</f>
      </c>
      <c r="H10" s="62" t="str">
        <f>IF($J10=0,"",IF(INDEX('Прайс и заказ'!L:L,$J10)="","",INDEX('Прайс и заказ'!L:L,$J10)))</f>
      </c>
      <c r="I10" s="13" t="str">
        <f>IF($J10=0,"",IF(INDEX('Прайс и заказ'!M:M,$J10)="","",INDEX('Прайс и заказ'!M:M,$J10)))</f>
      </c>
      <c r="J10" t="str">
        <f>IFERROR(MATCH(2,'Прайс и заказ'!$N$7:$N$100,0)+6,0)</f>
      </c>
      <c r="L10" t="str">
        <f>IF($J10=0,"",IF(INDEX('Прайс и заказ'!Q:Q,$J10)="","",INDEX('Прайс и заказ'!Q:Q,$J10)))</f>
      </c>
    </row>
    <row r="11" spans="1:12" customHeight="1" ht="40">
      <c r="A11" s="13" t="str">
        <f>IF($J11=0,"",IFERROR(_xlfn.IMAGE(INDEX('Прайс и заказ'!$O:$O,$J11)),""))</f>
      </c>
      <c r="B11" s="61" t="str">
        <f>IF($J11=0,"",IF(INDEX('Прайс и заказ'!B:B,$J11)="","",INDEX('Прайс и заказ'!B:B,$J11)))</f>
      </c>
      <c r="C11" s="64" t="str">
        <f>IF($J11=0,"",IF(INDEX('Прайс и заказ'!C:C,$J11)="","",INDEX('Прайс и заказ'!C:C,$J11)))</f>
      </c>
      <c r="D11" s="64" t="str">
        <f>IF($J11=0,"",IF(INDEX('Прайс и заказ'!D:D,$J11)="","",INDEX('Прайс и заказ'!D:D,$J11)))</f>
      </c>
      <c r="E11" s="61" t="str">
        <f>IF($J11=0,"",IF(INDEX('Прайс и заказ'!F:F,$J11)="","",INDEX('Прайс и заказ'!F:F,$J11)))</f>
      </c>
      <c r="F11" s="62" t="str">
        <f>IF($J11=0,"",IF(INDEX('Прайс и заказ'!I:I,$J11)="","",INDEX('Прайс и заказ'!I:I,$J11)))</f>
      </c>
      <c r="G11" s="63" t="str">
        <f>IF($J11=0,"",IF(INDEX('Прайс и заказ'!K:K,$J11)="","",INDEX('Прайс и заказ'!K:K,$J11)))</f>
      </c>
      <c r="H11" s="62" t="str">
        <f>IF($J11=0,"",IF(INDEX('Прайс и заказ'!L:L,$J11)="","",INDEX('Прайс и заказ'!L:L,$J11)))</f>
      </c>
      <c r="I11" s="13" t="str">
        <f>IF($J11=0,"",IF(INDEX('Прайс и заказ'!M:M,$J11)="","",INDEX('Прайс и заказ'!M:M,$J11)))</f>
      </c>
      <c r="J11" t="str">
        <f>IFERROR(MATCH(3,'Прайс и заказ'!$N$7:$N$100,0)+6,0)</f>
      </c>
      <c r="L11" t="str">
        <f>IF($J11=0,"",IF(INDEX('Прайс и заказ'!Q:Q,$J11)="","",INDEX('Прайс и заказ'!Q:Q,$J11)))</f>
      </c>
    </row>
    <row r="12" spans="1:12" customHeight="1" ht="40">
      <c r="A12" s="13" t="str">
        <f>IF($J12=0,"",IFERROR(_xlfn.IMAGE(INDEX('Прайс и заказ'!$O:$O,$J12)),""))</f>
      </c>
      <c r="B12" s="61" t="str">
        <f>IF($J12=0,"",IF(INDEX('Прайс и заказ'!B:B,$J12)="","",INDEX('Прайс и заказ'!B:B,$J12)))</f>
      </c>
      <c r="C12" s="64" t="str">
        <f>IF($J12=0,"",IF(INDEX('Прайс и заказ'!C:C,$J12)="","",INDEX('Прайс и заказ'!C:C,$J12)))</f>
      </c>
      <c r="D12" s="64" t="str">
        <f>IF($J12=0,"",IF(INDEX('Прайс и заказ'!D:D,$J12)="","",INDEX('Прайс и заказ'!D:D,$J12)))</f>
      </c>
      <c r="E12" s="61" t="str">
        <f>IF($J12=0,"",IF(INDEX('Прайс и заказ'!F:F,$J12)="","",INDEX('Прайс и заказ'!F:F,$J12)))</f>
      </c>
      <c r="F12" s="62" t="str">
        <f>IF($J12=0,"",IF(INDEX('Прайс и заказ'!I:I,$J12)="","",INDEX('Прайс и заказ'!I:I,$J12)))</f>
      </c>
      <c r="G12" s="63" t="str">
        <f>IF($J12=0,"",IF(INDEX('Прайс и заказ'!K:K,$J12)="","",INDEX('Прайс и заказ'!K:K,$J12)))</f>
      </c>
      <c r="H12" s="62" t="str">
        <f>IF($J12=0,"",IF(INDEX('Прайс и заказ'!L:L,$J12)="","",INDEX('Прайс и заказ'!L:L,$J12)))</f>
      </c>
      <c r="I12" s="13" t="str">
        <f>IF($J12=0,"",IF(INDEX('Прайс и заказ'!M:M,$J12)="","",INDEX('Прайс и заказ'!M:M,$J12)))</f>
      </c>
      <c r="J12" t="str">
        <f>IFERROR(MATCH(4,'Прайс и заказ'!$N$7:$N$100,0)+6,0)</f>
      </c>
      <c r="L12" t="str">
        <f>IF($J12=0,"",IF(INDEX('Прайс и заказ'!Q:Q,$J12)="","",INDEX('Прайс и заказ'!Q:Q,$J12)))</f>
      </c>
    </row>
    <row r="13" spans="1:12" customHeight="1" ht="40">
      <c r="A13" s="13" t="str">
        <f>IF($J13=0,"",IFERROR(_xlfn.IMAGE(INDEX('Прайс и заказ'!$O:$O,$J13)),""))</f>
      </c>
      <c r="B13" s="61" t="str">
        <f>IF($J13=0,"",IF(INDEX('Прайс и заказ'!B:B,$J13)="","",INDEX('Прайс и заказ'!B:B,$J13)))</f>
      </c>
      <c r="C13" s="64" t="str">
        <f>IF($J13=0,"",IF(INDEX('Прайс и заказ'!C:C,$J13)="","",INDEX('Прайс и заказ'!C:C,$J13)))</f>
      </c>
      <c r="D13" s="64" t="str">
        <f>IF($J13=0,"",IF(INDEX('Прайс и заказ'!D:D,$J13)="","",INDEX('Прайс и заказ'!D:D,$J13)))</f>
      </c>
      <c r="E13" s="61" t="str">
        <f>IF($J13=0,"",IF(INDEX('Прайс и заказ'!F:F,$J13)="","",INDEX('Прайс и заказ'!F:F,$J13)))</f>
      </c>
      <c r="F13" s="62" t="str">
        <f>IF($J13=0,"",IF(INDEX('Прайс и заказ'!I:I,$J13)="","",INDEX('Прайс и заказ'!I:I,$J13)))</f>
      </c>
      <c r="G13" s="63" t="str">
        <f>IF($J13=0,"",IF(INDEX('Прайс и заказ'!K:K,$J13)="","",INDEX('Прайс и заказ'!K:K,$J13)))</f>
      </c>
      <c r="H13" s="62" t="str">
        <f>IF($J13=0,"",IF(INDEX('Прайс и заказ'!L:L,$J13)="","",INDEX('Прайс и заказ'!L:L,$J13)))</f>
      </c>
      <c r="I13" s="13" t="str">
        <f>IF($J13=0,"",IF(INDEX('Прайс и заказ'!M:M,$J13)="","",INDEX('Прайс и заказ'!M:M,$J13)))</f>
      </c>
      <c r="J13" t="str">
        <f>IFERROR(MATCH(5,'Прайс и заказ'!$N$7:$N$100,0)+6,0)</f>
      </c>
      <c r="L13" t="str">
        <f>IF($J13=0,"",IF(INDEX('Прайс и заказ'!Q:Q,$J13)="","",INDEX('Прайс и заказ'!Q:Q,$J13)))</f>
      </c>
    </row>
    <row r="14" spans="1:12" customHeight="1" ht="40">
      <c r="A14" s="13" t="str">
        <f>IF($J14=0,"",IFERROR(_xlfn.IMAGE(INDEX('Прайс и заказ'!$O:$O,$J14)),""))</f>
      </c>
      <c r="B14" s="61" t="str">
        <f>IF($J14=0,"",IF(INDEX('Прайс и заказ'!B:B,$J14)="","",INDEX('Прайс и заказ'!B:B,$J14)))</f>
      </c>
      <c r="C14" s="64" t="str">
        <f>IF($J14=0,"",IF(INDEX('Прайс и заказ'!C:C,$J14)="","",INDEX('Прайс и заказ'!C:C,$J14)))</f>
      </c>
      <c r="D14" s="64" t="str">
        <f>IF($J14=0,"",IF(INDEX('Прайс и заказ'!D:D,$J14)="","",INDEX('Прайс и заказ'!D:D,$J14)))</f>
      </c>
      <c r="E14" s="61" t="str">
        <f>IF($J14=0,"",IF(INDEX('Прайс и заказ'!F:F,$J14)="","",INDEX('Прайс и заказ'!F:F,$J14)))</f>
      </c>
      <c r="F14" s="62" t="str">
        <f>IF($J14=0,"",IF(INDEX('Прайс и заказ'!I:I,$J14)="","",INDEX('Прайс и заказ'!I:I,$J14)))</f>
      </c>
      <c r="G14" s="63" t="str">
        <f>IF($J14=0,"",IF(INDEX('Прайс и заказ'!K:K,$J14)="","",INDEX('Прайс и заказ'!K:K,$J14)))</f>
      </c>
      <c r="H14" s="62" t="str">
        <f>IF($J14=0,"",IF(INDEX('Прайс и заказ'!L:L,$J14)="","",INDEX('Прайс и заказ'!L:L,$J14)))</f>
      </c>
      <c r="I14" s="13" t="str">
        <f>IF($J14=0,"",IF(INDEX('Прайс и заказ'!M:M,$J14)="","",INDEX('Прайс и заказ'!M:M,$J14)))</f>
      </c>
      <c r="J14" t="str">
        <f>IFERROR(MATCH(6,'Прайс и заказ'!$N$7:$N$100,0)+6,0)</f>
      </c>
      <c r="L14" t="str">
        <f>IF($J14=0,"",IF(INDEX('Прайс и заказ'!Q:Q,$J14)="","",INDEX('Прайс и заказ'!Q:Q,$J14)))</f>
      </c>
    </row>
    <row r="15" spans="1:12" customHeight="1" ht="40">
      <c r="A15" s="13" t="str">
        <f>IF($J15=0,"",IFERROR(_xlfn.IMAGE(INDEX('Прайс и заказ'!$O:$O,$J15)),""))</f>
      </c>
      <c r="B15" s="61" t="str">
        <f>IF($J15=0,"",IF(INDEX('Прайс и заказ'!B:B,$J15)="","",INDEX('Прайс и заказ'!B:B,$J15)))</f>
      </c>
      <c r="C15" s="64" t="str">
        <f>IF($J15=0,"",IF(INDEX('Прайс и заказ'!C:C,$J15)="","",INDEX('Прайс и заказ'!C:C,$J15)))</f>
      </c>
      <c r="D15" s="64" t="str">
        <f>IF($J15=0,"",IF(INDEX('Прайс и заказ'!D:D,$J15)="","",INDEX('Прайс и заказ'!D:D,$J15)))</f>
      </c>
      <c r="E15" s="61" t="str">
        <f>IF($J15=0,"",IF(INDEX('Прайс и заказ'!F:F,$J15)="","",INDEX('Прайс и заказ'!F:F,$J15)))</f>
      </c>
      <c r="F15" s="62" t="str">
        <f>IF($J15=0,"",IF(INDEX('Прайс и заказ'!I:I,$J15)="","",INDEX('Прайс и заказ'!I:I,$J15)))</f>
      </c>
      <c r="G15" s="63" t="str">
        <f>IF($J15=0,"",IF(INDEX('Прайс и заказ'!K:K,$J15)="","",INDEX('Прайс и заказ'!K:K,$J15)))</f>
      </c>
      <c r="H15" s="62" t="str">
        <f>IF($J15=0,"",IF(INDEX('Прайс и заказ'!L:L,$J15)="","",INDEX('Прайс и заказ'!L:L,$J15)))</f>
      </c>
      <c r="I15" s="13" t="str">
        <f>IF($J15=0,"",IF(INDEX('Прайс и заказ'!M:M,$J15)="","",INDEX('Прайс и заказ'!M:M,$J15)))</f>
      </c>
      <c r="J15" t="str">
        <f>IFERROR(MATCH(7,'Прайс и заказ'!$N$7:$N$100,0)+6,0)</f>
      </c>
      <c r="L15" t="str">
        <f>IF($J15=0,"",IF(INDEX('Прайс и заказ'!Q:Q,$J15)="","",INDEX('Прайс и заказ'!Q:Q,$J15)))</f>
      </c>
    </row>
    <row r="16" spans="1:12" customHeight="1" ht="40">
      <c r="A16" s="13" t="str">
        <f>IF($J16=0,"",IFERROR(_xlfn.IMAGE(INDEX('Прайс и заказ'!$O:$O,$J16)),""))</f>
      </c>
      <c r="B16" s="61" t="str">
        <f>IF($J16=0,"",IF(INDEX('Прайс и заказ'!B:B,$J16)="","",INDEX('Прайс и заказ'!B:B,$J16)))</f>
      </c>
      <c r="C16" s="64" t="str">
        <f>IF($J16=0,"",IF(INDEX('Прайс и заказ'!C:C,$J16)="","",INDEX('Прайс и заказ'!C:C,$J16)))</f>
      </c>
      <c r="D16" s="64" t="str">
        <f>IF($J16=0,"",IF(INDEX('Прайс и заказ'!D:D,$J16)="","",INDEX('Прайс и заказ'!D:D,$J16)))</f>
      </c>
      <c r="E16" s="61" t="str">
        <f>IF($J16=0,"",IF(INDEX('Прайс и заказ'!F:F,$J16)="","",INDEX('Прайс и заказ'!F:F,$J16)))</f>
      </c>
      <c r="F16" s="62" t="str">
        <f>IF($J16=0,"",IF(INDEX('Прайс и заказ'!I:I,$J16)="","",INDEX('Прайс и заказ'!I:I,$J16)))</f>
      </c>
      <c r="G16" s="63" t="str">
        <f>IF($J16=0,"",IF(INDEX('Прайс и заказ'!K:K,$J16)="","",INDEX('Прайс и заказ'!K:K,$J16)))</f>
      </c>
      <c r="H16" s="62" t="str">
        <f>IF($J16=0,"",IF(INDEX('Прайс и заказ'!L:L,$J16)="","",INDEX('Прайс и заказ'!L:L,$J16)))</f>
      </c>
      <c r="I16" s="13" t="str">
        <f>IF($J16=0,"",IF(INDEX('Прайс и заказ'!M:M,$J16)="","",INDEX('Прайс и заказ'!M:M,$J16)))</f>
      </c>
      <c r="J16" t="str">
        <f>IFERROR(MATCH(8,'Прайс и заказ'!$N$7:$N$100,0)+6,0)</f>
      </c>
      <c r="L16" t="str">
        <f>IF($J16=0,"",IF(INDEX('Прайс и заказ'!Q:Q,$J16)="","",INDEX('Прайс и заказ'!Q:Q,$J16)))</f>
      </c>
    </row>
    <row r="17" spans="1:12" customHeight="1" ht="40">
      <c r="A17" s="13" t="str">
        <f>IF($J17=0,"",IFERROR(_xlfn.IMAGE(INDEX('Прайс и заказ'!$O:$O,$J17)),""))</f>
      </c>
      <c r="B17" s="61" t="str">
        <f>IF($J17=0,"",IF(INDEX('Прайс и заказ'!B:B,$J17)="","",INDEX('Прайс и заказ'!B:B,$J17)))</f>
      </c>
      <c r="C17" s="64" t="str">
        <f>IF($J17=0,"",IF(INDEX('Прайс и заказ'!C:C,$J17)="","",INDEX('Прайс и заказ'!C:C,$J17)))</f>
      </c>
      <c r="D17" s="64" t="str">
        <f>IF($J17=0,"",IF(INDEX('Прайс и заказ'!D:D,$J17)="","",INDEX('Прайс и заказ'!D:D,$J17)))</f>
      </c>
      <c r="E17" s="61" t="str">
        <f>IF($J17=0,"",IF(INDEX('Прайс и заказ'!F:F,$J17)="","",INDEX('Прайс и заказ'!F:F,$J17)))</f>
      </c>
      <c r="F17" s="62" t="str">
        <f>IF($J17=0,"",IF(INDEX('Прайс и заказ'!I:I,$J17)="","",INDEX('Прайс и заказ'!I:I,$J17)))</f>
      </c>
      <c r="G17" s="63" t="str">
        <f>IF($J17=0,"",IF(INDEX('Прайс и заказ'!K:K,$J17)="","",INDEX('Прайс и заказ'!K:K,$J17)))</f>
      </c>
      <c r="H17" s="62" t="str">
        <f>IF($J17=0,"",IF(INDEX('Прайс и заказ'!L:L,$J17)="","",INDEX('Прайс и заказ'!L:L,$J17)))</f>
      </c>
      <c r="I17" s="13" t="str">
        <f>IF($J17=0,"",IF(INDEX('Прайс и заказ'!M:M,$J17)="","",INDEX('Прайс и заказ'!M:M,$J17)))</f>
      </c>
      <c r="J17" t="str">
        <f>IFERROR(MATCH(9,'Прайс и заказ'!$N$7:$N$100,0)+6,0)</f>
      </c>
      <c r="L17" t="str">
        <f>IF($J17=0,"",IF(INDEX('Прайс и заказ'!Q:Q,$J17)="","",INDEX('Прайс и заказ'!Q:Q,$J17)))</f>
      </c>
    </row>
    <row r="18" spans="1:12" customHeight="1" ht="40">
      <c r="A18" s="13" t="str">
        <f>IF($J18=0,"",IFERROR(_xlfn.IMAGE(INDEX('Прайс и заказ'!$O:$O,$J18)),""))</f>
      </c>
      <c r="B18" s="61" t="str">
        <f>IF($J18=0,"",IF(INDEX('Прайс и заказ'!B:B,$J18)="","",INDEX('Прайс и заказ'!B:B,$J18)))</f>
      </c>
      <c r="C18" s="64" t="str">
        <f>IF($J18=0,"",IF(INDEX('Прайс и заказ'!C:C,$J18)="","",INDEX('Прайс и заказ'!C:C,$J18)))</f>
      </c>
      <c r="D18" s="64" t="str">
        <f>IF($J18=0,"",IF(INDEX('Прайс и заказ'!D:D,$J18)="","",INDEX('Прайс и заказ'!D:D,$J18)))</f>
      </c>
      <c r="E18" s="61" t="str">
        <f>IF($J18=0,"",IF(INDEX('Прайс и заказ'!F:F,$J18)="","",INDEX('Прайс и заказ'!F:F,$J18)))</f>
      </c>
      <c r="F18" s="62" t="str">
        <f>IF($J18=0,"",IF(INDEX('Прайс и заказ'!I:I,$J18)="","",INDEX('Прайс и заказ'!I:I,$J18)))</f>
      </c>
      <c r="G18" s="63" t="str">
        <f>IF($J18=0,"",IF(INDEX('Прайс и заказ'!K:K,$J18)="","",INDEX('Прайс и заказ'!K:K,$J18)))</f>
      </c>
      <c r="H18" s="62" t="str">
        <f>IF($J18=0,"",IF(INDEX('Прайс и заказ'!L:L,$J18)="","",INDEX('Прайс и заказ'!L:L,$J18)))</f>
      </c>
      <c r="I18" s="13" t="str">
        <f>IF($J18=0,"",IF(INDEX('Прайс и заказ'!M:M,$J18)="","",INDEX('Прайс и заказ'!M:M,$J18)))</f>
      </c>
      <c r="J18" t="str">
        <f>IFERROR(MATCH(10,'Прайс и заказ'!$N$7:$N$100,0)+6,0)</f>
      </c>
      <c r="L18" t="str">
        <f>IF($J18=0,"",IF(INDEX('Прайс и заказ'!Q:Q,$J18)="","",INDEX('Прайс и заказ'!Q:Q,$J18)))</f>
      </c>
    </row>
    <row r="19" spans="1:12" customHeight="1" ht="40">
      <c r="A19" s="13" t="str">
        <f>IF($J19=0,"",IFERROR(_xlfn.IMAGE(INDEX('Прайс и заказ'!$O:$O,$J19)),""))</f>
      </c>
      <c r="B19" s="61" t="str">
        <f>IF($J19=0,"",IF(INDEX('Прайс и заказ'!B:B,$J19)="","",INDEX('Прайс и заказ'!B:B,$J19)))</f>
      </c>
      <c r="C19" s="64" t="str">
        <f>IF($J19=0,"",IF(INDEX('Прайс и заказ'!C:C,$J19)="","",INDEX('Прайс и заказ'!C:C,$J19)))</f>
      </c>
      <c r="D19" s="64" t="str">
        <f>IF($J19=0,"",IF(INDEX('Прайс и заказ'!D:D,$J19)="","",INDEX('Прайс и заказ'!D:D,$J19)))</f>
      </c>
      <c r="E19" s="61" t="str">
        <f>IF($J19=0,"",IF(INDEX('Прайс и заказ'!F:F,$J19)="","",INDEX('Прайс и заказ'!F:F,$J19)))</f>
      </c>
      <c r="F19" s="62" t="str">
        <f>IF($J19=0,"",IF(INDEX('Прайс и заказ'!I:I,$J19)="","",INDEX('Прайс и заказ'!I:I,$J19)))</f>
      </c>
      <c r="G19" s="63" t="str">
        <f>IF($J19=0,"",IF(INDEX('Прайс и заказ'!K:K,$J19)="","",INDEX('Прайс и заказ'!K:K,$J19)))</f>
      </c>
      <c r="H19" s="62" t="str">
        <f>IF($J19=0,"",IF(INDEX('Прайс и заказ'!L:L,$J19)="","",INDEX('Прайс и заказ'!L:L,$J19)))</f>
      </c>
      <c r="I19" s="13" t="str">
        <f>IF($J19=0,"",IF(INDEX('Прайс и заказ'!M:M,$J19)="","",INDEX('Прайс и заказ'!M:M,$J19)))</f>
      </c>
      <c r="J19" t="str">
        <f>IFERROR(MATCH(11,'Прайс и заказ'!$N$7:$N$100,0)+6,0)</f>
      </c>
      <c r="L19" t="str">
        <f>IF($J19=0,"",IF(INDEX('Прайс и заказ'!Q:Q,$J19)="","",INDEX('Прайс и заказ'!Q:Q,$J19)))</f>
      </c>
    </row>
    <row r="20" spans="1:12" customHeight="1" ht="40">
      <c r="A20" s="13" t="str">
        <f>IF($J20=0,"",IFERROR(_xlfn.IMAGE(INDEX('Прайс и заказ'!$O:$O,$J20)),""))</f>
      </c>
      <c r="B20" s="61" t="str">
        <f>IF($J20=0,"",IF(INDEX('Прайс и заказ'!B:B,$J20)="","",INDEX('Прайс и заказ'!B:B,$J20)))</f>
      </c>
      <c r="C20" s="64" t="str">
        <f>IF($J20=0,"",IF(INDEX('Прайс и заказ'!C:C,$J20)="","",INDEX('Прайс и заказ'!C:C,$J20)))</f>
      </c>
      <c r="D20" s="64" t="str">
        <f>IF($J20=0,"",IF(INDEX('Прайс и заказ'!D:D,$J20)="","",INDEX('Прайс и заказ'!D:D,$J20)))</f>
      </c>
      <c r="E20" s="61" t="str">
        <f>IF($J20=0,"",IF(INDEX('Прайс и заказ'!F:F,$J20)="","",INDEX('Прайс и заказ'!F:F,$J20)))</f>
      </c>
      <c r="F20" s="62" t="str">
        <f>IF($J20=0,"",IF(INDEX('Прайс и заказ'!I:I,$J20)="","",INDEX('Прайс и заказ'!I:I,$J20)))</f>
      </c>
      <c r="G20" s="63" t="str">
        <f>IF($J20=0,"",IF(INDEX('Прайс и заказ'!K:K,$J20)="","",INDEX('Прайс и заказ'!K:K,$J20)))</f>
      </c>
      <c r="H20" s="62" t="str">
        <f>IF($J20=0,"",IF(INDEX('Прайс и заказ'!L:L,$J20)="","",INDEX('Прайс и заказ'!L:L,$J20)))</f>
      </c>
      <c r="I20" s="13" t="str">
        <f>IF($J20=0,"",IF(INDEX('Прайс и заказ'!M:M,$J20)="","",INDEX('Прайс и заказ'!M:M,$J20)))</f>
      </c>
      <c r="J20" t="str">
        <f>IFERROR(MATCH(12,'Прайс и заказ'!$N$7:$N$100,0)+6,0)</f>
      </c>
      <c r="L20" t="str">
        <f>IF($J20=0,"",IF(INDEX('Прайс и заказ'!Q:Q,$J20)="","",INDEX('Прайс и заказ'!Q:Q,$J20)))</f>
      </c>
    </row>
    <row r="21" spans="1:12" customHeight="1" ht="40">
      <c r="A21" s="13" t="str">
        <f>IF($J21=0,"",IFERROR(_xlfn.IMAGE(INDEX('Прайс и заказ'!$O:$O,$J21)),""))</f>
      </c>
      <c r="B21" s="61" t="str">
        <f>IF($J21=0,"",IF(INDEX('Прайс и заказ'!B:B,$J21)="","",INDEX('Прайс и заказ'!B:B,$J21)))</f>
      </c>
      <c r="C21" s="64" t="str">
        <f>IF($J21=0,"",IF(INDEX('Прайс и заказ'!C:C,$J21)="","",INDEX('Прайс и заказ'!C:C,$J21)))</f>
      </c>
      <c r="D21" s="64" t="str">
        <f>IF($J21=0,"",IF(INDEX('Прайс и заказ'!D:D,$J21)="","",INDEX('Прайс и заказ'!D:D,$J21)))</f>
      </c>
      <c r="E21" s="61" t="str">
        <f>IF($J21=0,"",IF(INDEX('Прайс и заказ'!F:F,$J21)="","",INDEX('Прайс и заказ'!F:F,$J21)))</f>
      </c>
      <c r="F21" s="62" t="str">
        <f>IF($J21=0,"",IF(INDEX('Прайс и заказ'!I:I,$J21)="","",INDEX('Прайс и заказ'!I:I,$J21)))</f>
      </c>
      <c r="G21" s="63" t="str">
        <f>IF($J21=0,"",IF(INDEX('Прайс и заказ'!K:K,$J21)="","",INDEX('Прайс и заказ'!K:K,$J21)))</f>
      </c>
      <c r="H21" s="62" t="str">
        <f>IF($J21=0,"",IF(INDEX('Прайс и заказ'!L:L,$J21)="","",INDEX('Прайс и заказ'!L:L,$J21)))</f>
      </c>
      <c r="I21" s="13" t="str">
        <f>IF($J21=0,"",IF(INDEX('Прайс и заказ'!M:M,$J21)="","",INDEX('Прайс и заказ'!M:M,$J21)))</f>
      </c>
      <c r="J21" t="str">
        <f>IFERROR(MATCH(13,'Прайс и заказ'!$N$7:$N$100,0)+6,0)</f>
      </c>
      <c r="L21" t="str">
        <f>IF($J21=0,"",IF(INDEX('Прайс и заказ'!Q:Q,$J21)="","",INDEX('Прайс и заказ'!Q:Q,$J21)))</f>
      </c>
    </row>
    <row r="22" spans="1:12" customHeight="1" ht="40">
      <c r="A22" s="13" t="str">
        <f>IF($J22=0,"",IFERROR(_xlfn.IMAGE(INDEX('Прайс и заказ'!$O:$O,$J22)),""))</f>
      </c>
      <c r="B22" s="61" t="str">
        <f>IF($J22=0,"",IF(INDEX('Прайс и заказ'!B:B,$J22)="","",INDEX('Прайс и заказ'!B:B,$J22)))</f>
      </c>
      <c r="C22" s="64" t="str">
        <f>IF($J22=0,"",IF(INDEX('Прайс и заказ'!C:C,$J22)="","",INDEX('Прайс и заказ'!C:C,$J22)))</f>
      </c>
      <c r="D22" s="64" t="str">
        <f>IF($J22=0,"",IF(INDEX('Прайс и заказ'!D:D,$J22)="","",INDEX('Прайс и заказ'!D:D,$J22)))</f>
      </c>
      <c r="E22" s="61" t="str">
        <f>IF($J22=0,"",IF(INDEX('Прайс и заказ'!F:F,$J22)="","",INDEX('Прайс и заказ'!F:F,$J22)))</f>
      </c>
      <c r="F22" s="62" t="str">
        <f>IF($J22=0,"",IF(INDEX('Прайс и заказ'!I:I,$J22)="","",INDEX('Прайс и заказ'!I:I,$J22)))</f>
      </c>
      <c r="G22" s="63" t="str">
        <f>IF($J22=0,"",IF(INDEX('Прайс и заказ'!K:K,$J22)="","",INDEX('Прайс и заказ'!K:K,$J22)))</f>
      </c>
      <c r="H22" s="62" t="str">
        <f>IF($J22=0,"",IF(INDEX('Прайс и заказ'!L:L,$J22)="","",INDEX('Прайс и заказ'!L:L,$J22)))</f>
      </c>
      <c r="I22" s="13" t="str">
        <f>IF($J22=0,"",IF(INDEX('Прайс и заказ'!M:M,$J22)="","",INDEX('Прайс и заказ'!M:M,$J22)))</f>
      </c>
      <c r="J22" t="str">
        <f>IFERROR(MATCH(14,'Прайс и заказ'!$N$7:$N$100,0)+6,0)</f>
      </c>
      <c r="L22" t="str">
        <f>IF($J22=0,"",IF(INDEX('Прайс и заказ'!Q:Q,$J22)="","",INDEX('Прайс и заказ'!Q:Q,$J22)))</f>
      </c>
    </row>
    <row r="23" spans="1:12" customHeight="1" ht="40">
      <c r="A23" s="13" t="str">
        <f>IF($J23=0,"",IFERROR(_xlfn.IMAGE(INDEX('Прайс и заказ'!$O:$O,$J23)),""))</f>
      </c>
      <c r="B23" s="61" t="str">
        <f>IF($J23=0,"",IF(INDEX('Прайс и заказ'!B:B,$J23)="","",INDEX('Прайс и заказ'!B:B,$J23)))</f>
      </c>
      <c r="C23" s="64" t="str">
        <f>IF($J23=0,"",IF(INDEX('Прайс и заказ'!C:C,$J23)="","",INDEX('Прайс и заказ'!C:C,$J23)))</f>
      </c>
      <c r="D23" s="64" t="str">
        <f>IF($J23=0,"",IF(INDEX('Прайс и заказ'!D:D,$J23)="","",INDEX('Прайс и заказ'!D:D,$J23)))</f>
      </c>
      <c r="E23" s="61" t="str">
        <f>IF($J23=0,"",IF(INDEX('Прайс и заказ'!F:F,$J23)="","",INDEX('Прайс и заказ'!F:F,$J23)))</f>
      </c>
      <c r="F23" s="62" t="str">
        <f>IF($J23=0,"",IF(INDEX('Прайс и заказ'!I:I,$J23)="","",INDEX('Прайс и заказ'!I:I,$J23)))</f>
      </c>
      <c r="G23" s="63" t="str">
        <f>IF($J23=0,"",IF(INDEX('Прайс и заказ'!K:K,$J23)="","",INDEX('Прайс и заказ'!K:K,$J23)))</f>
      </c>
      <c r="H23" s="62" t="str">
        <f>IF($J23=0,"",IF(INDEX('Прайс и заказ'!L:L,$J23)="","",INDEX('Прайс и заказ'!L:L,$J23)))</f>
      </c>
      <c r="I23" s="13" t="str">
        <f>IF($J23=0,"",IF(INDEX('Прайс и заказ'!M:M,$J23)="","",INDEX('Прайс и заказ'!M:M,$J23)))</f>
      </c>
      <c r="J23" t="str">
        <f>IFERROR(MATCH(15,'Прайс и заказ'!$N$7:$N$100,0)+6,0)</f>
      </c>
      <c r="L23" t="str">
        <f>IF($J23=0,"",IF(INDEX('Прайс и заказ'!Q:Q,$J23)="","",INDEX('Прайс и заказ'!Q:Q,$J23)))</f>
      </c>
    </row>
    <row r="24" spans="1:12" customHeight="1" ht="40">
      <c r="A24" s="13" t="str">
        <f>IF($J24=0,"",IFERROR(_xlfn.IMAGE(INDEX('Прайс и заказ'!$O:$O,$J24)),""))</f>
      </c>
      <c r="B24" s="61" t="str">
        <f>IF($J24=0,"",IF(INDEX('Прайс и заказ'!B:B,$J24)="","",INDEX('Прайс и заказ'!B:B,$J24)))</f>
      </c>
      <c r="C24" s="64" t="str">
        <f>IF($J24=0,"",IF(INDEX('Прайс и заказ'!C:C,$J24)="","",INDEX('Прайс и заказ'!C:C,$J24)))</f>
      </c>
      <c r="D24" s="64" t="str">
        <f>IF($J24=0,"",IF(INDEX('Прайс и заказ'!D:D,$J24)="","",INDEX('Прайс и заказ'!D:D,$J24)))</f>
      </c>
      <c r="E24" s="61" t="str">
        <f>IF($J24=0,"",IF(INDEX('Прайс и заказ'!F:F,$J24)="","",INDEX('Прайс и заказ'!F:F,$J24)))</f>
      </c>
      <c r="F24" s="62" t="str">
        <f>IF($J24=0,"",IF(INDEX('Прайс и заказ'!I:I,$J24)="","",INDEX('Прайс и заказ'!I:I,$J24)))</f>
      </c>
      <c r="G24" s="63" t="str">
        <f>IF($J24=0,"",IF(INDEX('Прайс и заказ'!K:K,$J24)="","",INDEX('Прайс и заказ'!K:K,$J24)))</f>
      </c>
      <c r="H24" s="62" t="str">
        <f>IF($J24=0,"",IF(INDEX('Прайс и заказ'!L:L,$J24)="","",INDEX('Прайс и заказ'!L:L,$J24)))</f>
      </c>
      <c r="I24" s="13" t="str">
        <f>IF($J24=0,"",IF(INDEX('Прайс и заказ'!M:M,$J24)="","",INDEX('Прайс и заказ'!M:M,$J24)))</f>
      </c>
      <c r="J24" t="str">
        <f>IFERROR(MATCH(16,'Прайс и заказ'!$N$7:$N$100,0)+6,0)</f>
      </c>
      <c r="L24" t="str">
        <f>IF($J24=0,"",IF(INDEX('Прайс и заказ'!Q:Q,$J24)="","",INDEX('Прайс и заказ'!Q:Q,$J24)))</f>
      </c>
    </row>
    <row r="25" spans="1:12" customHeight="1" ht="40">
      <c r="A25" s="13" t="str">
        <f>IF($J25=0,"",IFERROR(_xlfn.IMAGE(INDEX('Прайс и заказ'!$O:$O,$J25)),""))</f>
      </c>
      <c r="B25" s="61" t="str">
        <f>IF($J25=0,"",IF(INDEX('Прайс и заказ'!B:B,$J25)="","",INDEX('Прайс и заказ'!B:B,$J25)))</f>
      </c>
      <c r="C25" s="64" t="str">
        <f>IF($J25=0,"",IF(INDEX('Прайс и заказ'!C:C,$J25)="","",INDEX('Прайс и заказ'!C:C,$J25)))</f>
      </c>
      <c r="D25" s="64" t="str">
        <f>IF($J25=0,"",IF(INDEX('Прайс и заказ'!D:D,$J25)="","",INDEX('Прайс и заказ'!D:D,$J25)))</f>
      </c>
      <c r="E25" s="61" t="str">
        <f>IF($J25=0,"",IF(INDEX('Прайс и заказ'!F:F,$J25)="","",INDEX('Прайс и заказ'!F:F,$J25)))</f>
      </c>
      <c r="F25" s="62" t="str">
        <f>IF($J25=0,"",IF(INDEX('Прайс и заказ'!I:I,$J25)="","",INDEX('Прайс и заказ'!I:I,$J25)))</f>
      </c>
      <c r="G25" s="63" t="str">
        <f>IF($J25=0,"",IF(INDEX('Прайс и заказ'!K:K,$J25)="","",INDEX('Прайс и заказ'!K:K,$J25)))</f>
      </c>
      <c r="H25" s="62" t="str">
        <f>IF($J25=0,"",IF(INDEX('Прайс и заказ'!L:L,$J25)="","",INDEX('Прайс и заказ'!L:L,$J25)))</f>
      </c>
      <c r="I25" s="13" t="str">
        <f>IF($J25=0,"",IF(INDEX('Прайс и заказ'!M:M,$J25)="","",INDEX('Прайс и заказ'!M:M,$J25)))</f>
      </c>
      <c r="J25" t="str">
        <f>IFERROR(MATCH(17,'Прайс и заказ'!$N$7:$N$100,0)+6,0)</f>
      </c>
      <c r="L25" t="str">
        <f>IF($J25=0,"",IF(INDEX('Прайс и заказ'!Q:Q,$J25)="","",INDEX('Прайс и заказ'!Q:Q,$J25)))</f>
      </c>
    </row>
    <row r="26" spans="1:12" customHeight="1" ht="40">
      <c r="A26" s="13" t="str">
        <f>IF($J26=0,"",IFERROR(_xlfn.IMAGE(INDEX('Прайс и заказ'!$O:$O,$J26)),""))</f>
      </c>
      <c r="B26" s="61" t="str">
        <f>IF($J26=0,"",IF(INDEX('Прайс и заказ'!B:B,$J26)="","",INDEX('Прайс и заказ'!B:B,$J26)))</f>
      </c>
      <c r="C26" s="64" t="str">
        <f>IF($J26=0,"",IF(INDEX('Прайс и заказ'!C:C,$J26)="","",INDEX('Прайс и заказ'!C:C,$J26)))</f>
      </c>
      <c r="D26" s="64" t="str">
        <f>IF($J26=0,"",IF(INDEX('Прайс и заказ'!D:D,$J26)="","",INDEX('Прайс и заказ'!D:D,$J26)))</f>
      </c>
      <c r="E26" s="61" t="str">
        <f>IF($J26=0,"",IF(INDEX('Прайс и заказ'!F:F,$J26)="","",INDEX('Прайс и заказ'!F:F,$J26)))</f>
      </c>
      <c r="F26" s="62" t="str">
        <f>IF($J26=0,"",IF(INDEX('Прайс и заказ'!I:I,$J26)="","",INDEX('Прайс и заказ'!I:I,$J26)))</f>
      </c>
      <c r="G26" s="63" t="str">
        <f>IF($J26=0,"",IF(INDEX('Прайс и заказ'!K:K,$J26)="","",INDEX('Прайс и заказ'!K:K,$J26)))</f>
      </c>
      <c r="H26" s="62" t="str">
        <f>IF($J26=0,"",IF(INDEX('Прайс и заказ'!L:L,$J26)="","",INDEX('Прайс и заказ'!L:L,$J26)))</f>
      </c>
      <c r="I26" s="13" t="str">
        <f>IF($J26=0,"",IF(INDEX('Прайс и заказ'!M:M,$J26)="","",INDEX('Прайс и заказ'!M:M,$J26)))</f>
      </c>
      <c r="J26" t="str">
        <f>IFERROR(MATCH(18,'Прайс и заказ'!$N$7:$N$100,0)+6,0)</f>
      </c>
      <c r="L26" t="str">
        <f>IF($J26=0,"",IF(INDEX('Прайс и заказ'!Q:Q,$J26)="","",INDEX('Прайс и заказ'!Q:Q,$J26)))</f>
      </c>
    </row>
    <row r="27" spans="1:12" customHeight="1" ht="40">
      <c r="A27" s="13" t="str">
        <f>IF($J27=0,"",IFERROR(_xlfn.IMAGE(INDEX('Прайс и заказ'!$O:$O,$J27)),""))</f>
      </c>
      <c r="B27" s="61" t="str">
        <f>IF($J27=0,"",IF(INDEX('Прайс и заказ'!B:B,$J27)="","",INDEX('Прайс и заказ'!B:B,$J27)))</f>
      </c>
      <c r="C27" s="64" t="str">
        <f>IF($J27=0,"",IF(INDEX('Прайс и заказ'!C:C,$J27)="","",INDEX('Прайс и заказ'!C:C,$J27)))</f>
      </c>
      <c r="D27" s="64" t="str">
        <f>IF($J27=0,"",IF(INDEX('Прайс и заказ'!D:D,$J27)="","",INDEX('Прайс и заказ'!D:D,$J27)))</f>
      </c>
      <c r="E27" s="61" t="str">
        <f>IF($J27=0,"",IF(INDEX('Прайс и заказ'!F:F,$J27)="","",INDEX('Прайс и заказ'!F:F,$J27)))</f>
      </c>
      <c r="F27" s="62" t="str">
        <f>IF($J27=0,"",IF(INDEX('Прайс и заказ'!I:I,$J27)="","",INDEX('Прайс и заказ'!I:I,$J27)))</f>
      </c>
      <c r="G27" s="63" t="str">
        <f>IF($J27=0,"",IF(INDEX('Прайс и заказ'!K:K,$J27)="","",INDEX('Прайс и заказ'!K:K,$J27)))</f>
      </c>
      <c r="H27" s="62" t="str">
        <f>IF($J27=0,"",IF(INDEX('Прайс и заказ'!L:L,$J27)="","",INDEX('Прайс и заказ'!L:L,$J27)))</f>
      </c>
      <c r="I27" s="13" t="str">
        <f>IF($J27=0,"",IF(INDEX('Прайс и заказ'!M:M,$J27)="","",INDEX('Прайс и заказ'!M:M,$J27)))</f>
      </c>
      <c r="J27" t="str">
        <f>IFERROR(MATCH(19,'Прайс и заказ'!$N$7:$N$100,0)+6,0)</f>
      </c>
      <c r="L27" t="str">
        <f>IF($J27=0,"",IF(INDEX('Прайс и заказ'!Q:Q,$J27)="","",INDEX('Прайс и заказ'!Q:Q,$J27)))</f>
      </c>
    </row>
    <row r="28" spans="1:12" customHeight="1" ht="40">
      <c r="A28" s="13" t="str">
        <f>IF($J28=0,"",IFERROR(_xlfn.IMAGE(INDEX('Прайс и заказ'!$O:$O,$J28)),""))</f>
      </c>
      <c r="B28" s="61" t="str">
        <f>IF($J28=0,"",IF(INDEX('Прайс и заказ'!B:B,$J28)="","",INDEX('Прайс и заказ'!B:B,$J28)))</f>
      </c>
      <c r="C28" s="64" t="str">
        <f>IF($J28=0,"",IF(INDEX('Прайс и заказ'!C:C,$J28)="","",INDEX('Прайс и заказ'!C:C,$J28)))</f>
      </c>
      <c r="D28" s="64" t="str">
        <f>IF($J28=0,"",IF(INDEX('Прайс и заказ'!D:D,$J28)="","",INDEX('Прайс и заказ'!D:D,$J28)))</f>
      </c>
      <c r="E28" s="61" t="str">
        <f>IF($J28=0,"",IF(INDEX('Прайс и заказ'!F:F,$J28)="","",INDEX('Прайс и заказ'!F:F,$J28)))</f>
      </c>
      <c r="F28" s="62" t="str">
        <f>IF($J28=0,"",IF(INDEX('Прайс и заказ'!I:I,$J28)="","",INDEX('Прайс и заказ'!I:I,$J28)))</f>
      </c>
      <c r="G28" s="63" t="str">
        <f>IF($J28=0,"",IF(INDEX('Прайс и заказ'!K:K,$J28)="","",INDEX('Прайс и заказ'!K:K,$J28)))</f>
      </c>
      <c r="H28" s="62" t="str">
        <f>IF($J28=0,"",IF(INDEX('Прайс и заказ'!L:L,$J28)="","",INDEX('Прайс и заказ'!L:L,$J28)))</f>
      </c>
      <c r="I28" s="13" t="str">
        <f>IF($J28=0,"",IF(INDEX('Прайс и заказ'!M:M,$J28)="","",INDEX('Прайс и заказ'!M:M,$J28)))</f>
      </c>
      <c r="J28" t="str">
        <f>IFERROR(MATCH(20,'Прайс и заказ'!$N$7:$N$100,0)+6,0)</f>
      </c>
      <c r="L28" t="str">
        <f>IF($J28=0,"",IF(INDEX('Прайс и заказ'!Q:Q,$J28)="","",INDEX('Прайс и заказ'!Q:Q,$J28)))</f>
      </c>
    </row>
    <row r="29" spans="1:12" customHeight="1" ht="40">
      <c r="A29" s="13" t="str">
        <f>IF($J29=0,"",IFERROR(_xlfn.IMAGE(INDEX('Прайс и заказ'!$O:$O,$J29)),""))</f>
      </c>
      <c r="B29" s="61" t="str">
        <f>IF($J29=0,"",IF(INDEX('Прайс и заказ'!B:B,$J29)="","",INDEX('Прайс и заказ'!B:B,$J29)))</f>
      </c>
      <c r="C29" s="64" t="str">
        <f>IF($J29=0,"",IF(INDEX('Прайс и заказ'!C:C,$J29)="","",INDEX('Прайс и заказ'!C:C,$J29)))</f>
      </c>
      <c r="D29" s="64" t="str">
        <f>IF($J29=0,"",IF(INDEX('Прайс и заказ'!D:D,$J29)="","",INDEX('Прайс и заказ'!D:D,$J29)))</f>
      </c>
      <c r="E29" s="61" t="str">
        <f>IF($J29=0,"",IF(INDEX('Прайс и заказ'!F:F,$J29)="","",INDEX('Прайс и заказ'!F:F,$J29)))</f>
      </c>
      <c r="F29" s="62" t="str">
        <f>IF($J29=0,"",IF(INDEX('Прайс и заказ'!I:I,$J29)="","",INDEX('Прайс и заказ'!I:I,$J29)))</f>
      </c>
      <c r="G29" s="63" t="str">
        <f>IF($J29=0,"",IF(INDEX('Прайс и заказ'!K:K,$J29)="","",INDEX('Прайс и заказ'!K:K,$J29)))</f>
      </c>
      <c r="H29" s="62" t="str">
        <f>IF($J29=0,"",IF(INDEX('Прайс и заказ'!L:L,$J29)="","",INDEX('Прайс и заказ'!L:L,$J29)))</f>
      </c>
      <c r="I29" s="13" t="str">
        <f>IF($J29=0,"",IF(INDEX('Прайс и заказ'!M:M,$J29)="","",INDEX('Прайс и заказ'!M:M,$J29)))</f>
      </c>
      <c r="J29" t="str">
        <f>IFERROR(MATCH(21,'Прайс и заказ'!$N$7:$N$100,0)+6,0)</f>
      </c>
      <c r="L29" t="str">
        <f>IF($J29=0,"",IF(INDEX('Прайс и заказ'!Q:Q,$J29)="","",INDEX('Прайс и заказ'!Q:Q,$J29)))</f>
      </c>
    </row>
    <row r="30" spans="1:12" customHeight="1" ht="40">
      <c r="A30" s="13" t="str">
        <f>IF($J30=0,"",IFERROR(_xlfn.IMAGE(INDEX('Прайс и заказ'!$O:$O,$J30)),""))</f>
      </c>
      <c r="B30" s="61" t="str">
        <f>IF($J30=0,"",IF(INDEX('Прайс и заказ'!B:B,$J30)="","",INDEX('Прайс и заказ'!B:B,$J30)))</f>
      </c>
      <c r="C30" s="64" t="str">
        <f>IF($J30=0,"",IF(INDEX('Прайс и заказ'!C:C,$J30)="","",INDEX('Прайс и заказ'!C:C,$J30)))</f>
      </c>
      <c r="D30" s="64" t="str">
        <f>IF($J30=0,"",IF(INDEX('Прайс и заказ'!D:D,$J30)="","",INDEX('Прайс и заказ'!D:D,$J30)))</f>
      </c>
      <c r="E30" s="61" t="str">
        <f>IF($J30=0,"",IF(INDEX('Прайс и заказ'!F:F,$J30)="","",INDEX('Прайс и заказ'!F:F,$J30)))</f>
      </c>
      <c r="F30" s="62" t="str">
        <f>IF($J30=0,"",IF(INDEX('Прайс и заказ'!I:I,$J30)="","",INDEX('Прайс и заказ'!I:I,$J30)))</f>
      </c>
      <c r="G30" s="63" t="str">
        <f>IF($J30=0,"",IF(INDEX('Прайс и заказ'!K:K,$J30)="","",INDEX('Прайс и заказ'!K:K,$J30)))</f>
      </c>
      <c r="H30" s="62" t="str">
        <f>IF($J30=0,"",IF(INDEX('Прайс и заказ'!L:L,$J30)="","",INDEX('Прайс и заказ'!L:L,$J30)))</f>
      </c>
      <c r="I30" s="13" t="str">
        <f>IF($J30=0,"",IF(INDEX('Прайс и заказ'!M:M,$J30)="","",INDEX('Прайс и заказ'!M:M,$J30)))</f>
      </c>
      <c r="J30" t="str">
        <f>IFERROR(MATCH(22,'Прайс и заказ'!$N$7:$N$100,0)+6,0)</f>
      </c>
      <c r="L30" t="str">
        <f>IF($J30=0,"",IF(INDEX('Прайс и заказ'!Q:Q,$J30)="","",INDEX('Прайс и заказ'!Q:Q,$J30)))</f>
      </c>
    </row>
    <row r="31" spans="1:12" customHeight="1" ht="40">
      <c r="A31" s="13" t="str">
        <f>IF($J31=0,"",IFERROR(_xlfn.IMAGE(INDEX('Прайс и заказ'!$O:$O,$J31)),""))</f>
      </c>
      <c r="B31" s="61" t="str">
        <f>IF($J31=0,"",IF(INDEX('Прайс и заказ'!B:B,$J31)="","",INDEX('Прайс и заказ'!B:B,$J31)))</f>
      </c>
      <c r="C31" s="64" t="str">
        <f>IF($J31=0,"",IF(INDEX('Прайс и заказ'!C:C,$J31)="","",INDEX('Прайс и заказ'!C:C,$J31)))</f>
      </c>
      <c r="D31" s="64" t="str">
        <f>IF($J31=0,"",IF(INDEX('Прайс и заказ'!D:D,$J31)="","",INDEX('Прайс и заказ'!D:D,$J31)))</f>
      </c>
      <c r="E31" s="61" t="str">
        <f>IF($J31=0,"",IF(INDEX('Прайс и заказ'!F:F,$J31)="","",INDEX('Прайс и заказ'!F:F,$J31)))</f>
      </c>
      <c r="F31" s="62" t="str">
        <f>IF($J31=0,"",IF(INDEX('Прайс и заказ'!I:I,$J31)="","",INDEX('Прайс и заказ'!I:I,$J31)))</f>
      </c>
      <c r="G31" s="63" t="str">
        <f>IF($J31=0,"",IF(INDEX('Прайс и заказ'!K:K,$J31)="","",INDEX('Прайс и заказ'!K:K,$J31)))</f>
      </c>
      <c r="H31" s="62" t="str">
        <f>IF($J31=0,"",IF(INDEX('Прайс и заказ'!L:L,$J31)="","",INDEX('Прайс и заказ'!L:L,$J31)))</f>
      </c>
      <c r="I31" s="13" t="str">
        <f>IF($J31=0,"",IF(INDEX('Прайс и заказ'!M:M,$J31)="","",INDEX('Прайс и заказ'!M:M,$J31)))</f>
      </c>
      <c r="J31" t="str">
        <f>IFERROR(MATCH(23,'Прайс и заказ'!$N$7:$N$100,0)+6,0)</f>
      </c>
      <c r="L31" t="str">
        <f>IF($J31=0,"",IF(INDEX('Прайс и заказ'!Q:Q,$J31)="","",INDEX('Прайс и заказ'!Q:Q,$J31)))</f>
      </c>
    </row>
    <row r="32" spans="1:12" customHeight="1" ht="40">
      <c r="A32" s="13" t="str">
        <f>IF($J32=0,"",IFERROR(_xlfn.IMAGE(INDEX('Прайс и заказ'!$O:$O,$J32)),""))</f>
      </c>
      <c r="B32" s="61" t="str">
        <f>IF($J32=0,"",IF(INDEX('Прайс и заказ'!B:B,$J32)="","",INDEX('Прайс и заказ'!B:B,$J32)))</f>
      </c>
      <c r="C32" s="64" t="str">
        <f>IF($J32=0,"",IF(INDEX('Прайс и заказ'!C:C,$J32)="","",INDEX('Прайс и заказ'!C:C,$J32)))</f>
      </c>
      <c r="D32" s="64" t="str">
        <f>IF($J32=0,"",IF(INDEX('Прайс и заказ'!D:D,$J32)="","",INDEX('Прайс и заказ'!D:D,$J32)))</f>
      </c>
      <c r="E32" s="61" t="str">
        <f>IF($J32=0,"",IF(INDEX('Прайс и заказ'!F:F,$J32)="","",INDEX('Прайс и заказ'!F:F,$J32)))</f>
      </c>
      <c r="F32" s="62" t="str">
        <f>IF($J32=0,"",IF(INDEX('Прайс и заказ'!I:I,$J32)="","",INDEX('Прайс и заказ'!I:I,$J32)))</f>
      </c>
      <c r="G32" s="63" t="str">
        <f>IF($J32=0,"",IF(INDEX('Прайс и заказ'!K:K,$J32)="","",INDEX('Прайс и заказ'!K:K,$J32)))</f>
      </c>
      <c r="H32" s="62" t="str">
        <f>IF($J32=0,"",IF(INDEX('Прайс и заказ'!L:L,$J32)="","",INDEX('Прайс и заказ'!L:L,$J32)))</f>
      </c>
      <c r="I32" s="13" t="str">
        <f>IF($J32=0,"",IF(INDEX('Прайс и заказ'!M:M,$J32)="","",INDEX('Прайс и заказ'!M:M,$J32)))</f>
      </c>
      <c r="J32" t="str">
        <f>IFERROR(MATCH(24,'Прайс и заказ'!$N$7:$N$100,0)+6,0)</f>
      </c>
      <c r="L32" t="str">
        <f>IF($J32=0,"",IF(INDEX('Прайс и заказ'!Q:Q,$J32)="","",INDEX('Прайс и заказ'!Q:Q,$J32)))</f>
      </c>
    </row>
    <row r="33" spans="1:12" customHeight="1" ht="40">
      <c r="A33" s="13" t="str">
        <f>IF($J33=0,"",IFERROR(_xlfn.IMAGE(INDEX('Прайс и заказ'!$O:$O,$J33)),""))</f>
      </c>
      <c r="B33" s="61" t="str">
        <f>IF($J33=0,"",IF(INDEX('Прайс и заказ'!B:B,$J33)="","",INDEX('Прайс и заказ'!B:B,$J33)))</f>
      </c>
      <c r="C33" s="64" t="str">
        <f>IF($J33=0,"",IF(INDEX('Прайс и заказ'!C:C,$J33)="","",INDEX('Прайс и заказ'!C:C,$J33)))</f>
      </c>
      <c r="D33" s="64" t="str">
        <f>IF($J33=0,"",IF(INDEX('Прайс и заказ'!D:D,$J33)="","",INDEX('Прайс и заказ'!D:D,$J33)))</f>
      </c>
      <c r="E33" s="61" t="str">
        <f>IF($J33=0,"",IF(INDEX('Прайс и заказ'!F:F,$J33)="","",INDEX('Прайс и заказ'!F:F,$J33)))</f>
      </c>
      <c r="F33" s="62" t="str">
        <f>IF($J33=0,"",IF(INDEX('Прайс и заказ'!I:I,$J33)="","",INDEX('Прайс и заказ'!I:I,$J33)))</f>
      </c>
      <c r="G33" s="63" t="str">
        <f>IF($J33=0,"",IF(INDEX('Прайс и заказ'!K:K,$J33)="","",INDEX('Прайс и заказ'!K:K,$J33)))</f>
      </c>
      <c r="H33" s="62" t="str">
        <f>IF($J33=0,"",IF(INDEX('Прайс и заказ'!L:L,$J33)="","",INDEX('Прайс и заказ'!L:L,$J33)))</f>
      </c>
      <c r="I33" s="13" t="str">
        <f>IF($J33=0,"",IF(INDEX('Прайс и заказ'!M:M,$J33)="","",INDEX('Прайс и заказ'!M:M,$J33)))</f>
      </c>
      <c r="J33" t="str">
        <f>IFERROR(MATCH(25,'Прайс и заказ'!$N$7:$N$100,0)+6,0)</f>
      </c>
      <c r="L33" t="str">
        <f>IF($J33=0,"",IF(INDEX('Прайс и заказ'!Q:Q,$J33)="","",INDEX('Прайс и заказ'!Q:Q,$J33)))</f>
      </c>
    </row>
    <row r="34" spans="1:12" customHeight="1" ht="40">
      <c r="A34" s="13" t="str">
        <f>IF($J34=0,"",IFERROR(_xlfn.IMAGE(INDEX('Прайс и заказ'!$O:$O,$J34)),""))</f>
      </c>
      <c r="B34" s="61" t="str">
        <f>IF($J34=0,"",IF(INDEX('Прайс и заказ'!B:B,$J34)="","",INDEX('Прайс и заказ'!B:B,$J34)))</f>
      </c>
      <c r="C34" s="64" t="str">
        <f>IF($J34=0,"",IF(INDEX('Прайс и заказ'!C:C,$J34)="","",INDEX('Прайс и заказ'!C:C,$J34)))</f>
      </c>
      <c r="D34" s="64" t="str">
        <f>IF($J34=0,"",IF(INDEX('Прайс и заказ'!D:D,$J34)="","",INDEX('Прайс и заказ'!D:D,$J34)))</f>
      </c>
      <c r="E34" s="61" t="str">
        <f>IF($J34=0,"",IF(INDEX('Прайс и заказ'!F:F,$J34)="","",INDEX('Прайс и заказ'!F:F,$J34)))</f>
      </c>
      <c r="F34" s="62" t="str">
        <f>IF($J34=0,"",IF(INDEX('Прайс и заказ'!I:I,$J34)="","",INDEX('Прайс и заказ'!I:I,$J34)))</f>
      </c>
      <c r="G34" s="63" t="str">
        <f>IF($J34=0,"",IF(INDEX('Прайс и заказ'!K:K,$J34)="","",INDEX('Прайс и заказ'!K:K,$J34)))</f>
      </c>
      <c r="H34" s="62" t="str">
        <f>IF($J34=0,"",IF(INDEX('Прайс и заказ'!L:L,$J34)="","",INDEX('Прайс и заказ'!L:L,$J34)))</f>
      </c>
      <c r="I34" s="13" t="str">
        <f>IF($J34=0,"",IF(INDEX('Прайс и заказ'!M:M,$J34)="","",INDEX('Прайс и заказ'!M:M,$J34)))</f>
      </c>
      <c r="J34" t="str">
        <f>IFERROR(MATCH(26,'Прайс и заказ'!$N$7:$N$100,0)+6,0)</f>
      </c>
      <c r="L34" t="str">
        <f>IF($J34=0,"",IF(INDEX('Прайс и заказ'!Q:Q,$J34)="","",INDEX('Прайс и заказ'!Q:Q,$J34)))</f>
      </c>
    </row>
    <row r="35" spans="1:12" customHeight="1" ht="40">
      <c r="A35" s="13" t="str">
        <f>IF($J35=0,"",IFERROR(_xlfn.IMAGE(INDEX('Прайс и заказ'!$O:$O,$J35)),""))</f>
      </c>
      <c r="B35" s="61" t="str">
        <f>IF($J35=0,"",IF(INDEX('Прайс и заказ'!B:B,$J35)="","",INDEX('Прайс и заказ'!B:B,$J35)))</f>
      </c>
      <c r="C35" s="64" t="str">
        <f>IF($J35=0,"",IF(INDEX('Прайс и заказ'!C:C,$J35)="","",INDEX('Прайс и заказ'!C:C,$J35)))</f>
      </c>
      <c r="D35" s="64" t="str">
        <f>IF($J35=0,"",IF(INDEX('Прайс и заказ'!D:D,$J35)="","",INDEX('Прайс и заказ'!D:D,$J35)))</f>
      </c>
      <c r="E35" s="61" t="str">
        <f>IF($J35=0,"",IF(INDEX('Прайс и заказ'!F:F,$J35)="","",INDEX('Прайс и заказ'!F:F,$J35)))</f>
      </c>
      <c r="F35" s="62" t="str">
        <f>IF($J35=0,"",IF(INDEX('Прайс и заказ'!I:I,$J35)="","",INDEX('Прайс и заказ'!I:I,$J35)))</f>
      </c>
      <c r="G35" s="63" t="str">
        <f>IF($J35=0,"",IF(INDEX('Прайс и заказ'!K:K,$J35)="","",INDEX('Прайс и заказ'!K:K,$J35)))</f>
      </c>
      <c r="H35" s="62" t="str">
        <f>IF($J35=0,"",IF(INDEX('Прайс и заказ'!L:L,$J35)="","",INDEX('Прайс и заказ'!L:L,$J35)))</f>
      </c>
      <c r="I35" s="13" t="str">
        <f>IF($J35=0,"",IF(INDEX('Прайс и заказ'!M:M,$J35)="","",INDEX('Прайс и заказ'!M:M,$J35)))</f>
      </c>
      <c r="J35" t="str">
        <f>IFERROR(MATCH(27,'Прайс и заказ'!$N$7:$N$100,0)+6,0)</f>
      </c>
      <c r="L35" t="str">
        <f>IF($J35=0,"",IF(INDEX('Прайс и заказ'!Q:Q,$J35)="","",INDEX('Прайс и заказ'!Q:Q,$J35)))</f>
      </c>
    </row>
    <row r="36" spans="1:12" customHeight="1" ht="40">
      <c r="A36" s="13" t="str">
        <f>IF($J36=0,"",IFERROR(_xlfn.IMAGE(INDEX('Прайс и заказ'!$O:$O,$J36)),""))</f>
      </c>
      <c r="B36" s="61" t="str">
        <f>IF($J36=0,"",IF(INDEX('Прайс и заказ'!B:B,$J36)="","",INDEX('Прайс и заказ'!B:B,$J36)))</f>
      </c>
      <c r="C36" s="64" t="str">
        <f>IF($J36=0,"",IF(INDEX('Прайс и заказ'!C:C,$J36)="","",INDEX('Прайс и заказ'!C:C,$J36)))</f>
      </c>
      <c r="D36" s="64" t="str">
        <f>IF($J36=0,"",IF(INDEX('Прайс и заказ'!D:D,$J36)="","",INDEX('Прайс и заказ'!D:D,$J36)))</f>
      </c>
      <c r="E36" s="61" t="str">
        <f>IF($J36=0,"",IF(INDEX('Прайс и заказ'!F:F,$J36)="","",INDEX('Прайс и заказ'!F:F,$J36)))</f>
      </c>
      <c r="F36" s="62" t="str">
        <f>IF($J36=0,"",IF(INDEX('Прайс и заказ'!I:I,$J36)="","",INDEX('Прайс и заказ'!I:I,$J36)))</f>
      </c>
      <c r="G36" s="63" t="str">
        <f>IF($J36=0,"",IF(INDEX('Прайс и заказ'!K:K,$J36)="","",INDEX('Прайс и заказ'!K:K,$J36)))</f>
      </c>
      <c r="H36" s="62" t="str">
        <f>IF($J36=0,"",IF(INDEX('Прайс и заказ'!L:L,$J36)="","",INDEX('Прайс и заказ'!L:L,$J36)))</f>
      </c>
      <c r="I36" s="13" t="str">
        <f>IF($J36=0,"",IF(INDEX('Прайс и заказ'!M:M,$J36)="","",INDEX('Прайс и заказ'!M:M,$J36)))</f>
      </c>
      <c r="J36" t="str">
        <f>IFERROR(MATCH(28,'Прайс и заказ'!$N$7:$N$100,0)+6,0)</f>
      </c>
      <c r="L36" t="str">
        <f>IF($J36=0,"",IF(INDEX('Прайс и заказ'!Q:Q,$J36)="","",INDEX('Прайс и заказ'!Q:Q,$J36)))</f>
      </c>
    </row>
    <row r="37" spans="1:12" customHeight="1" ht="40">
      <c r="A37" s="13" t="str">
        <f>IF($J37=0,"",IFERROR(_xlfn.IMAGE(INDEX('Прайс и заказ'!$O:$O,$J37)),""))</f>
      </c>
      <c r="B37" s="61" t="str">
        <f>IF($J37=0,"",IF(INDEX('Прайс и заказ'!B:B,$J37)="","",INDEX('Прайс и заказ'!B:B,$J37)))</f>
      </c>
      <c r="C37" s="64" t="str">
        <f>IF($J37=0,"",IF(INDEX('Прайс и заказ'!C:C,$J37)="","",INDEX('Прайс и заказ'!C:C,$J37)))</f>
      </c>
      <c r="D37" s="64" t="str">
        <f>IF($J37=0,"",IF(INDEX('Прайс и заказ'!D:D,$J37)="","",INDEX('Прайс и заказ'!D:D,$J37)))</f>
      </c>
      <c r="E37" s="61" t="str">
        <f>IF($J37=0,"",IF(INDEX('Прайс и заказ'!F:F,$J37)="","",INDEX('Прайс и заказ'!F:F,$J37)))</f>
      </c>
      <c r="F37" s="62" t="str">
        <f>IF($J37=0,"",IF(INDEX('Прайс и заказ'!I:I,$J37)="","",INDEX('Прайс и заказ'!I:I,$J37)))</f>
      </c>
      <c r="G37" s="63" t="str">
        <f>IF($J37=0,"",IF(INDEX('Прайс и заказ'!K:K,$J37)="","",INDEX('Прайс и заказ'!K:K,$J37)))</f>
      </c>
      <c r="H37" s="62" t="str">
        <f>IF($J37=0,"",IF(INDEX('Прайс и заказ'!L:L,$J37)="","",INDEX('Прайс и заказ'!L:L,$J37)))</f>
      </c>
      <c r="I37" s="13" t="str">
        <f>IF($J37=0,"",IF(INDEX('Прайс и заказ'!M:M,$J37)="","",INDEX('Прайс и заказ'!M:M,$J37)))</f>
      </c>
      <c r="J37" t="str">
        <f>IFERROR(MATCH(29,'Прайс и заказ'!$N$7:$N$100,0)+6,0)</f>
      </c>
      <c r="L37" t="str">
        <f>IF($J37=0,"",IF(INDEX('Прайс и заказ'!Q:Q,$J37)="","",INDEX('Прайс и заказ'!Q:Q,$J37)))</f>
      </c>
    </row>
    <row r="38" spans="1:12" customHeight="1" ht="40">
      <c r="A38" s="13" t="str">
        <f>IF($J38=0,"",IFERROR(_xlfn.IMAGE(INDEX('Прайс и заказ'!$O:$O,$J38)),""))</f>
      </c>
      <c r="B38" s="61" t="str">
        <f>IF($J38=0,"",IF(INDEX('Прайс и заказ'!B:B,$J38)="","",INDEX('Прайс и заказ'!B:B,$J38)))</f>
      </c>
      <c r="C38" s="64" t="str">
        <f>IF($J38=0,"",IF(INDEX('Прайс и заказ'!C:C,$J38)="","",INDEX('Прайс и заказ'!C:C,$J38)))</f>
      </c>
      <c r="D38" s="64" t="str">
        <f>IF($J38=0,"",IF(INDEX('Прайс и заказ'!D:D,$J38)="","",INDEX('Прайс и заказ'!D:D,$J38)))</f>
      </c>
      <c r="E38" s="61" t="str">
        <f>IF($J38=0,"",IF(INDEX('Прайс и заказ'!F:F,$J38)="","",INDEX('Прайс и заказ'!F:F,$J38)))</f>
      </c>
      <c r="F38" s="62" t="str">
        <f>IF($J38=0,"",IF(INDEX('Прайс и заказ'!I:I,$J38)="","",INDEX('Прайс и заказ'!I:I,$J38)))</f>
      </c>
      <c r="G38" s="63" t="str">
        <f>IF($J38=0,"",IF(INDEX('Прайс и заказ'!K:K,$J38)="","",INDEX('Прайс и заказ'!K:K,$J38)))</f>
      </c>
      <c r="H38" s="62" t="str">
        <f>IF($J38=0,"",IF(INDEX('Прайс и заказ'!L:L,$J38)="","",INDEX('Прайс и заказ'!L:L,$J38)))</f>
      </c>
      <c r="I38" s="13" t="str">
        <f>IF($J38=0,"",IF(INDEX('Прайс и заказ'!M:M,$J38)="","",INDEX('Прайс и заказ'!M:M,$J38)))</f>
      </c>
      <c r="J38" t="str">
        <f>IFERROR(MATCH(30,'Прайс и заказ'!$N$7:$N$100,0)+6,0)</f>
      </c>
      <c r="L38" t="str">
        <f>IF($J38=0,"",IF(INDEX('Прайс и заказ'!Q:Q,$J38)="","",INDEX('Прайс и заказ'!Q:Q,$J38)))</f>
      </c>
    </row>
    <row r="39" spans="1:12" customHeight="1" ht="40">
      <c r="A39" s="13" t="str">
        <f>IF($J39=0,"",IFERROR(_xlfn.IMAGE(INDEX('Прайс и заказ'!$O:$O,$J39)),""))</f>
      </c>
      <c r="B39" s="61" t="str">
        <f>IF($J39=0,"",IF(INDEX('Прайс и заказ'!B:B,$J39)="","",INDEX('Прайс и заказ'!B:B,$J39)))</f>
      </c>
      <c r="C39" s="64" t="str">
        <f>IF($J39=0,"",IF(INDEX('Прайс и заказ'!C:C,$J39)="","",INDEX('Прайс и заказ'!C:C,$J39)))</f>
      </c>
      <c r="D39" s="64" t="str">
        <f>IF($J39=0,"",IF(INDEX('Прайс и заказ'!D:D,$J39)="","",INDEX('Прайс и заказ'!D:D,$J39)))</f>
      </c>
      <c r="E39" s="61" t="str">
        <f>IF($J39=0,"",IF(INDEX('Прайс и заказ'!F:F,$J39)="","",INDEX('Прайс и заказ'!F:F,$J39)))</f>
      </c>
      <c r="F39" s="62" t="str">
        <f>IF($J39=0,"",IF(INDEX('Прайс и заказ'!I:I,$J39)="","",INDEX('Прайс и заказ'!I:I,$J39)))</f>
      </c>
      <c r="G39" s="63" t="str">
        <f>IF($J39=0,"",IF(INDEX('Прайс и заказ'!K:K,$J39)="","",INDEX('Прайс и заказ'!K:K,$J39)))</f>
      </c>
      <c r="H39" s="62" t="str">
        <f>IF($J39=0,"",IF(INDEX('Прайс и заказ'!L:L,$J39)="","",INDEX('Прайс и заказ'!L:L,$J39)))</f>
      </c>
      <c r="I39" s="13" t="str">
        <f>IF($J39=0,"",IF(INDEX('Прайс и заказ'!M:M,$J39)="","",INDEX('Прайс и заказ'!M:M,$J39)))</f>
      </c>
      <c r="J39" t="str">
        <f>IFERROR(MATCH(31,'Прайс и заказ'!$N$7:$N$100,0)+6,0)</f>
      </c>
      <c r="L39" t="str">
        <f>IF($J39=0,"",IF(INDEX('Прайс и заказ'!Q:Q,$J39)="","",INDEX('Прайс и заказ'!Q:Q,$J39)))</f>
      </c>
    </row>
    <row r="40" spans="1:12" customHeight="1" ht="40">
      <c r="A40" s="13" t="str">
        <f>IF($J40=0,"",IFERROR(_xlfn.IMAGE(INDEX('Прайс и заказ'!$O:$O,$J40)),""))</f>
      </c>
      <c r="B40" s="61" t="str">
        <f>IF($J40=0,"",IF(INDEX('Прайс и заказ'!B:B,$J40)="","",INDEX('Прайс и заказ'!B:B,$J40)))</f>
      </c>
      <c r="C40" s="64" t="str">
        <f>IF($J40=0,"",IF(INDEX('Прайс и заказ'!C:C,$J40)="","",INDEX('Прайс и заказ'!C:C,$J40)))</f>
      </c>
      <c r="D40" s="64" t="str">
        <f>IF($J40=0,"",IF(INDEX('Прайс и заказ'!D:D,$J40)="","",INDEX('Прайс и заказ'!D:D,$J40)))</f>
      </c>
      <c r="E40" s="61" t="str">
        <f>IF($J40=0,"",IF(INDEX('Прайс и заказ'!F:F,$J40)="","",INDEX('Прайс и заказ'!F:F,$J40)))</f>
      </c>
      <c r="F40" s="62" t="str">
        <f>IF($J40=0,"",IF(INDEX('Прайс и заказ'!I:I,$J40)="","",INDEX('Прайс и заказ'!I:I,$J40)))</f>
      </c>
      <c r="G40" s="63" t="str">
        <f>IF($J40=0,"",IF(INDEX('Прайс и заказ'!K:K,$J40)="","",INDEX('Прайс и заказ'!K:K,$J40)))</f>
      </c>
      <c r="H40" s="62" t="str">
        <f>IF($J40=0,"",IF(INDEX('Прайс и заказ'!L:L,$J40)="","",INDEX('Прайс и заказ'!L:L,$J40)))</f>
      </c>
      <c r="I40" s="13" t="str">
        <f>IF($J40=0,"",IF(INDEX('Прайс и заказ'!M:M,$J40)="","",INDEX('Прайс и заказ'!M:M,$J40)))</f>
      </c>
      <c r="J40" t="str">
        <f>IFERROR(MATCH(32,'Прайс и заказ'!$N$7:$N$100,0)+6,0)</f>
      </c>
      <c r="L40" t="str">
        <f>IF($J40=0,"",IF(INDEX('Прайс и заказ'!Q:Q,$J40)="","",INDEX('Прайс и заказ'!Q:Q,$J40)))</f>
      </c>
    </row>
    <row r="41" spans="1:12" customHeight="1" ht="40">
      <c r="A41" s="13" t="str">
        <f>IF($J41=0,"",IFERROR(_xlfn.IMAGE(INDEX('Прайс и заказ'!$O:$O,$J41)),""))</f>
      </c>
      <c r="B41" s="61" t="str">
        <f>IF($J41=0,"",IF(INDEX('Прайс и заказ'!B:B,$J41)="","",INDEX('Прайс и заказ'!B:B,$J41)))</f>
      </c>
      <c r="C41" s="64" t="str">
        <f>IF($J41=0,"",IF(INDEX('Прайс и заказ'!C:C,$J41)="","",INDEX('Прайс и заказ'!C:C,$J41)))</f>
      </c>
      <c r="D41" s="64" t="str">
        <f>IF($J41=0,"",IF(INDEX('Прайс и заказ'!D:D,$J41)="","",INDEX('Прайс и заказ'!D:D,$J41)))</f>
      </c>
      <c r="E41" s="61" t="str">
        <f>IF($J41=0,"",IF(INDEX('Прайс и заказ'!F:F,$J41)="","",INDEX('Прайс и заказ'!F:F,$J41)))</f>
      </c>
      <c r="F41" s="62" t="str">
        <f>IF($J41=0,"",IF(INDEX('Прайс и заказ'!I:I,$J41)="","",INDEX('Прайс и заказ'!I:I,$J41)))</f>
      </c>
      <c r="G41" s="63" t="str">
        <f>IF($J41=0,"",IF(INDEX('Прайс и заказ'!K:K,$J41)="","",INDEX('Прайс и заказ'!K:K,$J41)))</f>
      </c>
      <c r="H41" s="62" t="str">
        <f>IF($J41=0,"",IF(INDEX('Прайс и заказ'!L:L,$J41)="","",INDEX('Прайс и заказ'!L:L,$J41)))</f>
      </c>
      <c r="I41" s="13" t="str">
        <f>IF($J41=0,"",IF(INDEX('Прайс и заказ'!M:M,$J41)="","",INDEX('Прайс и заказ'!M:M,$J41)))</f>
      </c>
      <c r="J41" t="str">
        <f>IFERROR(MATCH(33,'Прайс и заказ'!$N$7:$N$100,0)+6,0)</f>
      </c>
      <c r="L41" t="str">
        <f>IF($J41=0,"",IF(INDEX('Прайс и заказ'!Q:Q,$J41)="","",INDEX('Прайс и заказ'!Q:Q,$J41)))</f>
      </c>
    </row>
    <row r="42" spans="1:12" customHeight="1" ht="40">
      <c r="A42" s="13" t="str">
        <f>IF($J42=0,"",IFERROR(_xlfn.IMAGE(INDEX('Прайс и заказ'!$O:$O,$J42)),""))</f>
      </c>
      <c r="B42" s="61" t="str">
        <f>IF($J42=0,"",IF(INDEX('Прайс и заказ'!B:B,$J42)="","",INDEX('Прайс и заказ'!B:B,$J42)))</f>
      </c>
      <c r="C42" s="64" t="str">
        <f>IF($J42=0,"",IF(INDEX('Прайс и заказ'!C:C,$J42)="","",INDEX('Прайс и заказ'!C:C,$J42)))</f>
      </c>
      <c r="D42" s="64" t="str">
        <f>IF($J42=0,"",IF(INDEX('Прайс и заказ'!D:D,$J42)="","",INDEX('Прайс и заказ'!D:D,$J42)))</f>
      </c>
      <c r="E42" s="61" t="str">
        <f>IF($J42=0,"",IF(INDEX('Прайс и заказ'!F:F,$J42)="","",INDEX('Прайс и заказ'!F:F,$J42)))</f>
      </c>
      <c r="F42" s="62" t="str">
        <f>IF($J42=0,"",IF(INDEX('Прайс и заказ'!I:I,$J42)="","",INDEX('Прайс и заказ'!I:I,$J42)))</f>
      </c>
      <c r="G42" s="63" t="str">
        <f>IF($J42=0,"",IF(INDEX('Прайс и заказ'!K:K,$J42)="","",INDEX('Прайс и заказ'!K:K,$J42)))</f>
      </c>
      <c r="H42" s="62" t="str">
        <f>IF($J42=0,"",IF(INDEX('Прайс и заказ'!L:L,$J42)="","",INDEX('Прайс и заказ'!L:L,$J42)))</f>
      </c>
      <c r="I42" s="13" t="str">
        <f>IF($J42=0,"",IF(INDEX('Прайс и заказ'!M:M,$J42)="","",INDEX('Прайс и заказ'!M:M,$J42)))</f>
      </c>
      <c r="J42" t="str">
        <f>IFERROR(MATCH(34,'Прайс и заказ'!$N$7:$N$100,0)+6,0)</f>
      </c>
      <c r="L42" t="str">
        <f>IF($J42=0,"",IF(INDEX('Прайс и заказ'!Q:Q,$J42)="","",INDEX('Прайс и заказ'!Q:Q,$J42)))</f>
      </c>
    </row>
    <row r="43" spans="1:12" customHeight="1" ht="40">
      <c r="A43" s="13" t="str">
        <f>IF($J43=0,"",IFERROR(_xlfn.IMAGE(INDEX('Прайс и заказ'!$O:$O,$J43)),""))</f>
      </c>
      <c r="B43" s="61" t="str">
        <f>IF($J43=0,"",IF(INDEX('Прайс и заказ'!B:B,$J43)="","",INDEX('Прайс и заказ'!B:B,$J43)))</f>
      </c>
      <c r="C43" s="64" t="str">
        <f>IF($J43=0,"",IF(INDEX('Прайс и заказ'!C:C,$J43)="","",INDEX('Прайс и заказ'!C:C,$J43)))</f>
      </c>
      <c r="D43" s="64" t="str">
        <f>IF($J43=0,"",IF(INDEX('Прайс и заказ'!D:D,$J43)="","",INDEX('Прайс и заказ'!D:D,$J43)))</f>
      </c>
      <c r="E43" s="61" t="str">
        <f>IF($J43=0,"",IF(INDEX('Прайс и заказ'!F:F,$J43)="","",INDEX('Прайс и заказ'!F:F,$J43)))</f>
      </c>
      <c r="F43" s="62" t="str">
        <f>IF($J43=0,"",IF(INDEX('Прайс и заказ'!I:I,$J43)="","",INDEX('Прайс и заказ'!I:I,$J43)))</f>
      </c>
      <c r="G43" s="63" t="str">
        <f>IF($J43=0,"",IF(INDEX('Прайс и заказ'!K:K,$J43)="","",INDEX('Прайс и заказ'!K:K,$J43)))</f>
      </c>
      <c r="H43" s="62" t="str">
        <f>IF($J43=0,"",IF(INDEX('Прайс и заказ'!L:L,$J43)="","",INDEX('Прайс и заказ'!L:L,$J43)))</f>
      </c>
      <c r="I43" s="13" t="str">
        <f>IF($J43=0,"",IF(INDEX('Прайс и заказ'!M:M,$J43)="","",INDEX('Прайс и заказ'!M:M,$J43)))</f>
      </c>
      <c r="J43" t="str">
        <f>IFERROR(MATCH(35,'Прайс и заказ'!$N$7:$N$100,0)+6,0)</f>
      </c>
      <c r="L43" t="str">
        <f>IF($J43=0,"",IF(INDEX('Прайс и заказ'!Q:Q,$J43)="","",INDEX('Прайс и заказ'!Q:Q,$J43)))</f>
      </c>
    </row>
    <row r="44" spans="1:12" customHeight="1" ht="40">
      <c r="A44" s="13" t="str">
        <f>IF($J44=0,"",IFERROR(_xlfn.IMAGE(INDEX('Прайс и заказ'!$O:$O,$J44)),""))</f>
      </c>
      <c r="B44" s="61" t="str">
        <f>IF($J44=0,"",IF(INDEX('Прайс и заказ'!B:B,$J44)="","",INDEX('Прайс и заказ'!B:B,$J44)))</f>
      </c>
      <c r="C44" s="64" t="str">
        <f>IF($J44=0,"",IF(INDEX('Прайс и заказ'!C:C,$J44)="","",INDEX('Прайс и заказ'!C:C,$J44)))</f>
      </c>
      <c r="D44" s="64" t="str">
        <f>IF($J44=0,"",IF(INDEX('Прайс и заказ'!D:D,$J44)="","",INDEX('Прайс и заказ'!D:D,$J44)))</f>
      </c>
      <c r="E44" s="61" t="str">
        <f>IF($J44=0,"",IF(INDEX('Прайс и заказ'!F:F,$J44)="","",INDEX('Прайс и заказ'!F:F,$J44)))</f>
      </c>
      <c r="F44" s="62" t="str">
        <f>IF($J44=0,"",IF(INDEX('Прайс и заказ'!I:I,$J44)="","",INDEX('Прайс и заказ'!I:I,$J44)))</f>
      </c>
      <c r="G44" s="63" t="str">
        <f>IF($J44=0,"",IF(INDEX('Прайс и заказ'!K:K,$J44)="","",INDEX('Прайс и заказ'!K:K,$J44)))</f>
      </c>
      <c r="H44" s="62" t="str">
        <f>IF($J44=0,"",IF(INDEX('Прайс и заказ'!L:L,$J44)="","",INDEX('Прайс и заказ'!L:L,$J44)))</f>
      </c>
      <c r="I44" s="13" t="str">
        <f>IF($J44=0,"",IF(INDEX('Прайс и заказ'!M:M,$J44)="","",INDEX('Прайс и заказ'!M:M,$J44)))</f>
      </c>
      <c r="J44" t="str">
        <f>IFERROR(MATCH(36,'Прайс и заказ'!$N$7:$N$100,0)+6,0)</f>
      </c>
      <c r="L44" t="str">
        <f>IF($J44=0,"",IF(INDEX('Прайс и заказ'!Q:Q,$J44)="","",INDEX('Прайс и заказ'!Q:Q,$J44)))</f>
      </c>
    </row>
    <row r="45" spans="1:12" customHeight="1" ht="40">
      <c r="A45" s="13" t="str">
        <f>IF($J45=0,"",IFERROR(_xlfn.IMAGE(INDEX('Прайс и заказ'!$O:$O,$J45)),""))</f>
      </c>
      <c r="B45" s="61" t="str">
        <f>IF($J45=0,"",IF(INDEX('Прайс и заказ'!B:B,$J45)="","",INDEX('Прайс и заказ'!B:B,$J45)))</f>
      </c>
      <c r="C45" s="64" t="str">
        <f>IF($J45=0,"",IF(INDEX('Прайс и заказ'!C:C,$J45)="","",INDEX('Прайс и заказ'!C:C,$J45)))</f>
      </c>
      <c r="D45" s="64" t="str">
        <f>IF($J45=0,"",IF(INDEX('Прайс и заказ'!D:D,$J45)="","",INDEX('Прайс и заказ'!D:D,$J45)))</f>
      </c>
      <c r="E45" s="61" t="str">
        <f>IF($J45=0,"",IF(INDEX('Прайс и заказ'!F:F,$J45)="","",INDEX('Прайс и заказ'!F:F,$J45)))</f>
      </c>
      <c r="F45" s="62" t="str">
        <f>IF($J45=0,"",IF(INDEX('Прайс и заказ'!I:I,$J45)="","",INDEX('Прайс и заказ'!I:I,$J45)))</f>
      </c>
      <c r="G45" s="63" t="str">
        <f>IF($J45=0,"",IF(INDEX('Прайс и заказ'!K:K,$J45)="","",INDEX('Прайс и заказ'!K:K,$J45)))</f>
      </c>
      <c r="H45" s="62" t="str">
        <f>IF($J45=0,"",IF(INDEX('Прайс и заказ'!L:L,$J45)="","",INDEX('Прайс и заказ'!L:L,$J45)))</f>
      </c>
      <c r="I45" s="13" t="str">
        <f>IF($J45=0,"",IF(INDEX('Прайс и заказ'!M:M,$J45)="","",INDEX('Прайс и заказ'!M:M,$J45)))</f>
      </c>
      <c r="J45" t="str">
        <f>IFERROR(MATCH(37,'Прайс и заказ'!$N$7:$N$100,0)+6,0)</f>
      </c>
      <c r="L45" t="str">
        <f>IF($J45=0,"",IF(INDEX('Прайс и заказ'!Q:Q,$J45)="","",INDEX('Прайс и заказ'!Q:Q,$J45)))</f>
      </c>
    </row>
    <row r="46" spans="1:12" customHeight="1" ht="40">
      <c r="A46" s="13" t="str">
        <f>IF($J46=0,"",IFERROR(_xlfn.IMAGE(INDEX('Прайс и заказ'!$O:$O,$J46)),""))</f>
      </c>
      <c r="B46" s="61" t="str">
        <f>IF($J46=0,"",IF(INDEX('Прайс и заказ'!B:B,$J46)="","",INDEX('Прайс и заказ'!B:B,$J46)))</f>
      </c>
      <c r="C46" s="64" t="str">
        <f>IF($J46=0,"",IF(INDEX('Прайс и заказ'!C:C,$J46)="","",INDEX('Прайс и заказ'!C:C,$J46)))</f>
      </c>
      <c r="D46" s="64" t="str">
        <f>IF($J46=0,"",IF(INDEX('Прайс и заказ'!D:D,$J46)="","",INDEX('Прайс и заказ'!D:D,$J46)))</f>
      </c>
      <c r="E46" s="61" t="str">
        <f>IF($J46=0,"",IF(INDEX('Прайс и заказ'!F:F,$J46)="","",INDEX('Прайс и заказ'!F:F,$J46)))</f>
      </c>
      <c r="F46" s="62" t="str">
        <f>IF($J46=0,"",IF(INDEX('Прайс и заказ'!I:I,$J46)="","",INDEX('Прайс и заказ'!I:I,$J46)))</f>
      </c>
      <c r="G46" s="63" t="str">
        <f>IF($J46=0,"",IF(INDEX('Прайс и заказ'!K:K,$J46)="","",INDEX('Прайс и заказ'!K:K,$J46)))</f>
      </c>
      <c r="H46" s="62" t="str">
        <f>IF($J46=0,"",IF(INDEX('Прайс и заказ'!L:L,$J46)="","",INDEX('Прайс и заказ'!L:L,$J46)))</f>
      </c>
      <c r="I46" s="13" t="str">
        <f>IF($J46=0,"",IF(INDEX('Прайс и заказ'!M:M,$J46)="","",INDEX('Прайс и заказ'!M:M,$J46)))</f>
      </c>
      <c r="J46" t="str">
        <f>IFERROR(MATCH(38,'Прайс и заказ'!$N$7:$N$100,0)+6,0)</f>
      </c>
      <c r="L46" t="str">
        <f>IF($J46=0,"",IF(INDEX('Прайс и заказ'!Q:Q,$J46)="","",INDEX('Прайс и заказ'!Q:Q,$J46)))</f>
      </c>
    </row>
    <row r="47" spans="1:12" customHeight="1" ht="40">
      <c r="A47" s="13" t="str">
        <f>IF($J47=0,"",IFERROR(_xlfn.IMAGE(INDEX('Прайс и заказ'!$O:$O,$J47)),""))</f>
      </c>
      <c r="B47" s="61" t="str">
        <f>IF($J47=0,"",IF(INDEX('Прайс и заказ'!B:B,$J47)="","",INDEX('Прайс и заказ'!B:B,$J47)))</f>
      </c>
      <c r="C47" s="64" t="str">
        <f>IF($J47=0,"",IF(INDEX('Прайс и заказ'!C:C,$J47)="","",INDEX('Прайс и заказ'!C:C,$J47)))</f>
      </c>
      <c r="D47" s="64" t="str">
        <f>IF($J47=0,"",IF(INDEX('Прайс и заказ'!D:D,$J47)="","",INDEX('Прайс и заказ'!D:D,$J47)))</f>
      </c>
      <c r="E47" s="61" t="str">
        <f>IF($J47=0,"",IF(INDEX('Прайс и заказ'!F:F,$J47)="","",INDEX('Прайс и заказ'!F:F,$J47)))</f>
      </c>
      <c r="F47" s="62" t="str">
        <f>IF($J47=0,"",IF(INDEX('Прайс и заказ'!I:I,$J47)="","",INDEX('Прайс и заказ'!I:I,$J47)))</f>
      </c>
      <c r="G47" s="63" t="str">
        <f>IF($J47=0,"",IF(INDEX('Прайс и заказ'!K:K,$J47)="","",INDEX('Прайс и заказ'!K:K,$J47)))</f>
      </c>
      <c r="H47" s="62" t="str">
        <f>IF($J47=0,"",IF(INDEX('Прайс и заказ'!L:L,$J47)="","",INDEX('Прайс и заказ'!L:L,$J47)))</f>
      </c>
      <c r="I47" s="13" t="str">
        <f>IF($J47=0,"",IF(INDEX('Прайс и заказ'!M:M,$J47)="","",INDEX('Прайс и заказ'!M:M,$J47)))</f>
      </c>
      <c r="J47" t="str">
        <f>IFERROR(MATCH(39,'Прайс и заказ'!$N$7:$N$100,0)+6,0)</f>
      </c>
      <c r="L47" t="str">
        <f>IF($J47=0,"",IF(INDEX('Прайс и заказ'!Q:Q,$J47)="","",INDEX('Прайс и заказ'!Q:Q,$J47)))</f>
      </c>
    </row>
    <row r="48" spans="1:12" customHeight="1" ht="40">
      <c r="A48" s="13" t="str">
        <f>IF($J48=0,"",IFERROR(_xlfn.IMAGE(INDEX('Прайс и заказ'!$O:$O,$J48)),""))</f>
      </c>
      <c r="B48" s="61" t="str">
        <f>IF($J48=0,"",IF(INDEX('Прайс и заказ'!B:B,$J48)="","",INDEX('Прайс и заказ'!B:B,$J48)))</f>
      </c>
      <c r="C48" s="64" t="str">
        <f>IF($J48=0,"",IF(INDEX('Прайс и заказ'!C:C,$J48)="","",INDEX('Прайс и заказ'!C:C,$J48)))</f>
      </c>
      <c r="D48" s="64" t="str">
        <f>IF($J48=0,"",IF(INDEX('Прайс и заказ'!D:D,$J48)="","",INDEX('Прайс и заказ'!D:D,$J48)))</f>
      </c>
      <c r="E48" s="61" t="str">
        <f>IF($J48=0,"",IF(INDEX('Прайс и заказ'!F:F,$J48)="","",INDEX('Прайс и заказ'!F:F,$J48)))</f>
      </c>
      <c r="F48" s="62" t="str">
        <f>IF($J48=0,"",IF(INDEX('Прайс и заказ'!I:I,$J48)="","",INDEX('Прайс и заказ'!I:I,$J48)))</f>
      </c>
      <c r="G48" s="63" t="str">
        <f>IF($J48=0,"",IF(INDEX('Прайс и заказ'!K:K,$J48)="","",INDEX('Прайс и заказ'!K:K,$J48)))</f>
      </c>
      <c r="H48" s="62" t="str">
        <f>IF($J48=0,"",IF(INDEX('Прайс и заказ'!L:L,$J48)="","",INDEX('Прайс и заказ'!L:L,$J48)))</f>
      </c>
      <c r="I48" s="13" t="str">
        <f>IF($J48=0,"",IF(INDEX('Прайс и заказ'!M:M,$J48)="","",INDEX('Прайс и заказ'!M:M,$J48)))</f>
      </c>
      <c r="J48" t="str">
        <f>IFERROR(MATCH(40,'Прайс и заказ'!$N$7:$N$100,0)+6,0)</f>
      </c>
      <c r="L48" t="str">
        <f>IF($J48=0,"",IF(INDEX('Прайс и заказ'!Q:Q,$J48)="","",INDEX('Прайс и заказ'!Q:Q,$J48)))</f>
      </c>
    </row>
    <row r="49" spans="1:12" customHeight="1" ht="40">
      <c r="A49" s="13" t="str">
        <f>IF($J49=0,"",IFERROR(_xlfn.IMAGE(INDEX('Прайс и заказ'!$O:$O,$J49)),""))</f>
      </c>
      <c r="B49" s="61" t="str">
        <f>IF($J49=0,"",IF(INDEX('Прайс и заказ'!B:B,$J49)="","",INDEX('Прайс и заказ'!B:B,$J49)))</f>
      </c>
      <c r="C49" s="64" t="str">
        <f>IF($J49=0,"",IF(INDEX('Прайс и заказ'!C:C,$J49)="","",INDEX('Прайс и заказ'!C:C,$J49)))</f>
      </c>
      <c r="D49" s="64" t="str">
        <f>IF($J49=0,"",IF(INDEX('Прайс и заказ'!D:D,$J49)="","",INDEX('Прайс и заказ'!D:D,$J49)))</f>
      </c>
      <c r="E49" s="61" t="str">
        <f>IF($J49=0,"",IF(INDEX('Прайс и заказ'!F:F,$J49)="","",INDEX('Прайс и заказ'!F:F,$J49)))</f>
      </c>
      <c r="F49" s="62" t="str">
        <f>IF($J49=0,"",IF(INDEX('Прайс и заказ'!I:I,$J49)="","",INDEX('Прайс и заказ'!I:I,$J49)))</f>
      </c>
      <c r="G49" s="63" t="str">
        <f>IF($J49=0,"",IF(INDEX('Прайс и заказ'!K:K,$J49)="","",INDEX('Прайс и заказ'!K:K,$J49)))</f>
      </c>
      <c r="H49" s="62" t="str">
        <f>IF($J49=0,"",IF(INDEX('Прайс и заказ'!L:L,$J49)="","",INDEX('Прайс и заказ'!L:L,$J49)))</f>
      </c>
      <c r="I49" s="13" t="str">
        <f>IF($J49=0,"",IF(INDEX('Прайс и заказ'!M:M,$J49)="","",INDEX('Прайс и заказ'!M:M,$J49)))</f>
      </c>
      <c r="J49" t="str">
        <f>IFERROR(MATCH(41,'Прайс и заказ'!$N$7:$N$100,0)+6,0)</f>
      </c>
      <c r="L49" t="str">
        <f>IF($J49=0,"",IF(INDEX('Прайс и заказ'!Q:Q,$J49)="","",INDEX('Прайс и заказ'!Q:Q,$J49)))</f>
      </c>
    </row>
    <row r="50" spans="1:12" customHeight="1" ht="40">
      <c r="A50" s="13" t="str">
        <f>IF($J50=0,"",IFERROR(_xlfn.IMAGE(INDEX('Прайс и заказ'!$O:$O,$J50)),""))</f>
      </c>
      <c r="B50" s="61" t="str">
        <f>IF($J50=0,"",IF(INDEX('Прайс и заказ'!B:B,$J50)="","",INDEX('Прайс и заказ'!B:B,$J50)))</f>
      </c>
      <c r="C50" s="64" t="str">
        <f>IF($J50=0,"",IF(INDEX('Прайс и заказ'!C:C,$J50)="","",INDEX('Прайс и заказ'!C:C,$J50)))</f>
      </c>
      <c r="D50" s="64" t="str">
        <f>IF($J50=0,"",IF(INDEX('Прайс и заказ'!D:D,$J50)="","",INDEX('Прайс и заказ'!D:D,$J50)))</f>
      </c>
      <c r="E50" s="61" t="str">
        <f>IF($J50=0,"",IF(INDEX('Прайс и заказ'!F:F,$J50)="","",INDEX('Прайс и заказ'!F:F,$J50)))</f>
      </c>
      <c r="F50" s="62" t="str">
        <f>IF($J50=0,"",IF(INDEX('Прайс и заказ'!I:I,$J50)="","",INDEX('Прайс и заказ'!I:I,$J50)))</f>
      </c>
      <c r="G50" s="63" t="str">
        <f>IF($J50=0,"",IF(INDEX('Прайс и заказ'!K:K,$J50)="","",INDEX('Прайс и заказ'!K:K,$J50)))</f>
      </c>
      <c r="H50" s="62" t="str">
        <f>IF($J50=0,"",IF(INDEX('Прайс и заказ'!L:L,$J50)="","",INDEX('Прайс и заказ'!L:L,$J50)))</f>
      </c>
      <c r="I50" s="13" t="str">
        <f>IF($J50=0,"",IF(INDEX('Прайс и заказ'!M:M,$J50)="","",INDEX('Прайс и заказ'!M:M,$J50)))</f>
      </c>
      <c r="J50" t="str">
        <f>IFERROR(MATCH(42,'Прайс и заказ'!$N$7:$N$100,0)+6,0)</f>
      </c>
      <c r="L50" t="str">
        <f>IF($J50=0,"",IF(INDEX('Прайс и заказ'!Q:Q,$J50)="","",INDEX('Прайс и заказ'!Q:Q,$J50)))</f>
      </c>
    </row>
    <row r="51" spans="1:12" customHeight="1" ht="40">
      <c r="A51" s="13" t="str">
        <f>IF($J51=0,"",IFERROR(_xlfn.IMAGE(INDEX('Прайс и заказ'!$O:$O,$J51)),""))</f>
      </c>
      <c r="B51" s="61" t="str">
        <f>IF($J51=0,"",IF(INDEX('Прайс и заказ'!B:B,$J51)="","",INDEX('Прайс и заказ'!B:B,$J51)))</f>
      </c>
      <c r="C51" s="64" t="str">
        <f>IF($J51=0,"",IF(INDEX('Прайс и заказ'!C:C,$J51)="","",INDEX('Прайс и заказ'!C:C,$J51)))</f>
      </c>
      <c r="D51" s="64" t="str">
        <f>IF($J51=0,"",IF(INDEX('Прайс и заказ'!D:D,$J51)="","",INDEX('Прайс и заказ'!D:D,$J51)))</f>
      </c>
      <c r="E51" s="61" t="str">
        <f>IF($J51=0,"",IF(INDEX('Прайс и заказ'!F:F,$J51)="","",INDEX('Прайс и заказ'!F:F,$J51)))</f>
      </c>
      <c r="F51" s="62" t="str">
        <f>IF($J51=0,"",IF(INDEX('Прайс и заказ'!I:I,$J51)="","",INDEX('Прайс и заказ'!I:I,$J51)))</f>
      </c>
      <c r="G51" s="63" t="str">
        <f>IF($J51=0,"",IF(INDEX('Прайс и заказ'!K:K,$J51)="","",INDEX('Прайс и заказ'!K:K,$J51)))</f>
      </c>
      <c r="H51" s="62" t="str">
        <f>IF($J51=0,"",IF(INDEX('Прайс и заказ'!L:L,$J51)="","",INDEX('Прайс и заказ'!L:L,$J51)))</f>
      </c>
      <c r="I51" s="13" t="str">
        <f>IF($J51=0,"",IF(INDEX('Прайс и заказ'!M:M,$J51)="","",INDEX('Прайс и заказ'!M:M,$J51)))</f>
      </c>
      <c r="J51" t="str">
        <f>IFERROR(MATCH(43,'Прайс и заказ'!$N$7:$N$100,0)+6,0)</f>
      </c>
      <c r="L51" t="str">
        <f>IF($J51=0,"",IF(INDEX('Прайс и заказ'!Q:Q,$J51)="","",INDEX('Прайс и заказ'!Q:Q,$J51)))</f>
      </c>
    </row>
    <row r="52" spans="1:12" customHeight="1" ht="40">
      <c r="A52" s="13" t="str">
        <f>IF($J52=0,"",IFERROR(_xlfn.IMAGE(INDEX('Прайс и заказ'!$O:$O,$J52)),""))</f>
      </c>
      <c r="B52" s="61" t="str">
        <f>IF($J52=0,"",IF(INDEX('Прайс и заказ'!B:B,$J52)="","",INDEX('Прайс и заказ'!B:B,$J52)))</f>
      </c>
      <c r="C52" s="64" t="str">
        <f>IF($J52=0,"",IF(INDEX('Прайс и заказ'!C:C,$J52)="","",INDEX('Прайс и заказ'!C:C,$J52)))</f>
      </c>
      <c r="D52" s="64" t="str">
        <f>IF($J52=0,"",IF(INDEX('Прайс и заказ'!D:D,$J52)="","",INDEX('Прайс и заказ'!D:D,$J52)))</f>
      </c>
      <c r="E52" s="61" t="str">
        <f>IF($J52=0,"",IF(INDEX('Прайс и заказ'!F:F,$J52)="","",INDEX('Прайс и заказ'!F:F,$J52)))</f>
      </c>
      <c r="F52" s="62" t="str">
        <f>IF($J52=0,"",IF(INDEX('Прайс и заказ'!I:I,$J52)="","",INDEX('Прайс и заказ'!I:I,$J52)))</f>
      </c>
      <c r="G52" s="63" t="str">
        <f>IF($J52=0,"",IF(INDEX('Прайс и заказ'!K:K,$J52)="","",INDEX('Прайс и заказ'!K:K,$J52)))</f>
      </c>
      <c r="H52" s="62" t="str">
        <f>IF($J52=0,"",IF(INDEX('Прайс и заказ'!L:L,$J52)="","",INDEX('Прайс и заказ'!L:L,$J52)))</f>
      </c>
      <c r="I52" s="13" t="str">
        <f>IF($J52=0,"",IF(INDEX('Прайс и заказ'!M:M,$J52)="","",INDEX('Прайс и заказ'!M:M,$J52)))</f>
      </c>
      <c r="J52" t="str">
        <f>IFERROR(MATCH(44,'Прайс и заказ'!$N$7:$N$100,0)+6,0)</f>
      </c>
      <c r="L52" t="str">
        <f>IF($J52=0,"",IF(INDEX('Прайс и заказ'!Q:Q,$J52)="","",INDEX('Прайс и заказ'!Q:Q,$J52)))</f>
      </c>
    </row>
    <row r="53" spans="1:12" customHeight="1" ht="40">
      <c r="A53" s="13" t="str">
        <f>IF($J53=0,"",IFERROR(_xlfn.IMAGE(INDEX('Прайс и заказ'!$O:$O,$J53)),""))</f>
      </c>
      <c r="B53" s="61" t="str">
        <f>IF($J53=0,"",IF(INDEX('Прайс и заказ'!B:B,$J53)="","",INDEX('Прайс и заказ'!B:B,$J53)))</f>
      </c>
      <c r="C53" s="64" t="str">
        <f>IF($J53=0,"",IF(INDEX('Прайс и заказ'!C:C,$J53)="","",INDEX('Прайс и заказ'!C:C,$J53)))</f>
      </c>
      <c r="D53" s="64" t="str">
        <f>IF($J53=0,"",IF(INDEX('Прайс и заказ'!D:D,$J53)="","",INDEX('Прайс и заказ'!D:D,$J53)))</f>
      </c>
      <c r="E53" s="61" t="str">
        <f>IF($J53=0,"",IF(INDEX('Прайс и заказ'!F:F,$J53)="","",INDEX('Прайс и заказ'!F:F,$J53)))</f>
      </c>
      <c r="F53" s="62" t="str">
        <f>IF($J53=0,"",IF(INDEX('Прайс и заказ'!I:I,$J53)="","",INDEX('Прайс и заказ'!I:I,$J53)))</f>
      </c>
      <c r="G53" s="63" t="str">
        <f>IF($J53=0,"",IF(INDEX('Прайс и заказ'!K:K,$J53)="","",INDEX('Прайс и заказ'!K:K,$J53)))</f>
      </c>
      <c r="H53" s="62" t="str">
        <f>IF($J53=0,"",IF(INDEX('Прайс и заказ'!L:L,$J53)="","",INDEX('Прайс и заказ'!L:L,$J53)))</f>
      </c>
      <c r="I53" s="13" t="str">
        <f>IF($J53=0,"",IF(INDEX('Прайс и заказ'!M:M,$J53)="","",INDEX('Прайс и заказ'!M:M,$J53)))</f>
      </c>
      <c r="J53" t="str">
        <f>IFERROR(MATCH(45,'Прайс и заказ'!$N$7:$N$100,0)+6,0)</f>
      </c>
      <c r="L53" t="str">
        <f>IF($J53=0,"",IF(INDEX('Прайс и заказ'!Q:Q,$J53)="","",INDEX('Прайс и заказ'!Q:Q,$J53)))</f>
      </c>
    </row>
    <row r="54" spans="1:12" customHeight="1" ht="40">
      <c r="A54" s="13" t="str">
        <f>IF($J54=0,"",IFERROR(_xlfn.IMAGE(INDEX('Прайс и заказ'!$O:$O,$J54)),""))</f>
      </c>
      <c r="B54" s="61" t="str">
        <f>IF($J54=0,"",IF(INDEX('Прайс и заказ'!B:B,$J54)="","",INDEX('Прайс и заказ'!B:B,$J54)))</f>
      </c>
      <c r="C54" s="64" t="str">
        <f>IF($J54=0,"",IF(INDEX('Прайс и заказ'!C:C,$J54)="","",INDEX('Прайс и заказ'!C:C,$J54)))</f>
      </c>
      <c r="D54" s="64" t="str">
        <f>IF($J54=0,"",IF(INDEX('Прайс и заказ'!D:D,$J54)="","",INDEX('Прайс и заказ'!D:D,$J54)))</f>
      </c>
      <c r="E54" s="61" t="str">
        <f>IF($J54=0,"",IF(INDEX('Прайс и заказ'!F:F,$J54)="","",INDEX('Прайс и заказ'!F:F,$J54)))</f>
      </c>
      <c r="F54" s="62" t="str">
        <f>IF($J54=0,"",IF(INDEX('Прайс и заказ'!I:I,$J54)="","",INDEX('Прайс и заказ'!I:I,$J54)))</f>
      </c>
      <c r="G54" s="63" t="str">
        <f>IF($J54=0,"",IF(INDEX('Прайс и заказ'!K:K,$J54)="","",INDEX('Прайс и заказ'!K:K,$J54)))</f>
      </c>
      <c r="H54" s="62" t="str">
        <f>IF($J54=0,"",IF(INDEX('Прайс и заказ'!L:L,$J54)="","",INDEX('Прайс и заказ'!L:L,$J54)))</f>
      </c>
      <c r="I54" s="13" t="str">
        <f>IF($J54=0,"",IF(INDEX('Прайс и заказ'!M:M,$J54)="","",INDEX('Прайс и заказ'!M:M,$J54)))</f>
      </c>
      <c r="J54" t="str">
        <f>IFERROR(MATCH(46,'Прайс и заказ'!$N$7:$N$100,0)+6,0)</f>
      </c>
      <c r="L54" t="str">
        <f>IF($J54=0,"",IF(INDEX('Прайс и заказ'!Q:Q,$J54)="","",INDEX('Прайс и заказ'!Q:Q,$J54)))</f>
      </c>
    </row>
    <row r="55" spans="1:12" customHeight="1" ht="40">
      <c r="A55" s="13" t="str">
        <f>IF($J55=0,"",IFERROR(_xlfn.IMAGE(INDEX('Прайс и заказ'!$O:$O,$J55)),""))</f>
      </c>
      <c r="B55" s="61" t="str">
        <f>IF($J55=0,"",IF(INDEX('Прайс и заказ'!B:B,$J55)="","",INDEX('Прайс и заказ'!B:B,$J55)))</f>
      </c>
      <c r="C55" s="64" t="str">
        <f>IF($J55=0,"",IF(INDEX('Прайс и заказ'!C:C,$J55)="","",INDEX('Прайс и заказ'!C:C,$J55)))</f>
      </c>
      <c r="D55" s="64" t="str">
        <f>IF($J55=0,"",IF(INDEX('Прайс и заказ'!D:D,$J55)="","",INDEX('Прайс и заказ'!D:D,$J55)))</f>
      </c>
      <c r="E55" s="61" t="str">
        <f>IF($J55=0,"",IF(INDEX('Прайс и заказ'!F:F,$J55)="","",INDEX('Прайс и заказ'!F:F,$J55)))</f>
      </c>
      <c r="F55" s="62" t="str">
        <f>IF($J55=0,"",IF(INDEX('Прайс и заказ'!I:I,$J55)="","",INDEX('Прайс и заказ'!I:I,$J55)))</f>
      </c>
      <c r="G55" s="63" t="str">
        <f>IF($J55=0,"",IF(INDEX('Прайс и заказ'!K:K,$J55)="","",INDEX('Прайс и заказ'!K:K,$J55)))</f>
      </c>
      <c r="H55" s="62" t="str">
        <f>IF($J55=0,"",IF(INDEX('Прайс и заказ'!L:L,$J55)="","",INDEX('Прайс и заказ'!L:L,$J55)))</f>
      </c>
      <c r="I55" s="13" t="str">
        <f>IF($J55=0,"",IF(INDEX('Прайс и заказ'!M:M,$J55)="","",INDEX('Прайс и заказ'!M:M,$J55)))</f>
      </c>
      <c r="J55" t="str">
        <f>IFERROR(MATCH(47,'Прайс и заказ'!$N$7:$N$100,0)+6,0)</f>
      </c>
      <c r="L55" t="str">
        <f>IF($J55=0,"",IF(INDEX('Прайс и заказ'!Q:Q,$J55)="","",INDEX('Прайс и заказ'!Q:Q,$J55)))</f>
      </c>
    </row>
    <row r="56" spans="1:12" customHeight="1" ht="40">
      <c r="A56" s="13" t="str">
        <f>IF($J56=0,"",IFERROR(_xlfn.IMAGE(INDEX('Прайс и заказ'!$O:$O,$J56)),""))</f>
      </c>
      <c r="B56" s="61" t="str">
        <f>IF($J56=0,"",IF(INDEX('Прайс и заказ'!B:B,$J56)="","",INDEX('Прайс и заказ'!B:B,$J56)))</f>
      </c>
      <c r="C56" s="64" t="str">
        <f>IF($J56=0,"",IF(INDEX('Прайс и заказ'!C:C,$J56)="","",INDEX('Прайс и заказ'!C:C,$J56)))</f>
      </c>
      <c r="D56" s="64" t="str">
        <f>IF($J56=0,"",IF(INDEX('Прайс и заказ'!D:D,$J56)="","",INDEX('Прайс и заказ'!D:D,$J56)))</f>
      </c>
      <c r="E56" s="61" t="str">
        <f>IF($J56=0,"",IF(INDEX('Прайс и заказ'!F:F,$J56)="","",INDEX('Прайс и заказ'!F:F,$J56)))</f>
      </c>
      <c r="F56" s="62" t="str">
        <f>IF($J56=0,"",IF(INDEX('Прайс и заказ'!I:I,$J56)="","",INDEX('Прайс и заказ'!I:I,$J56)))</f>
      </c>
      <c r="G56" s="63" t="str">
        <f>IF($J56=0,"",IF(INDEX('Прайс и заказ'!K:K,$J56)="","",INDEX('Прайс и заказ'!K:K,$J56)))</f>
      </c>
      <c r="H56" s="62" t="str">
        <f>IF($J56=0,"",IF(INDEX('Прайс и заказ'!L:L,$J56)="","",INDEX('Прайс и заказ'!L:L,$J56)))</f>
      </c>
      <c r="I56" s="13" t="str">
        <f>IF($J56=0,"",IF(INDEX('Прайс и заказ'!M:M,$J56)="","",INDEX('Прайс и заказ'!M:M,$J56)))</f>
      </c>
      <c r="J56" t="str">
        <f>IFERROR(MATCH(48,'Прайс и заказ'!$N$7:$N$100,0)+6,0)</f>
      </c>
      <c r="L56" t="str">
        <f>IF($J56=0,"",IF(INDEX('Прайс и заказ'!Q:Q,$J56)="","",INDEX('Прайс и заказ'!Q:Q,$J56)))</f>
      </c>
    </row>
    <row r="57" spans="1:12" customHeight="1" ht="40">
      <c r="A57" s="13" t="str">
        <f>IF($J57=0,"",IFERROR(_xlfn.IMAGE(INDEX('Прайс и заказ'!$O:$O,$J57)),""))</f>
      </c>
      <c r="B57" s="61" t="str">
        <f>IF($J57=0,"",IF(INDEX('Прайс и заказ'!B:B,$J57)="","",INDEX('Прайс и заказ'!B:B,$J57)))</f>
      </c>
      <c r="C57" s="64" t="str">
        <f>IF($J57=0,"",IF(INDEX('Прайс и заказ'!C:C,$J57)="","",INDEX('Прайс и заказ'!C:C,$J57)))</f>
      </c>
      <c r="D57" s="64" t="str">
        <f>IF($J57=0,"",IF(INDEX('Прайс и заказ'!D:D,$J57)="","",INDEX('Прайс и заказ'!D:D,$J57)))</f>
      </c>
      <c r="E57" s="61" t="str">
        <f>IF($J57=0,"",IF(INDEX('Прайс и заказ'!F:F,$J57)="","",INDEX('Прайс и заказ'!F:F,$J57)))</f>
      </c>
      <c r="F57" s="62" t="str">
        <f>IF($J57=0,"",IF(INDEX('Прайс и заказ'!I:I,$J57)="","",INDEX('Прайс и заказ'!I:I,$J57)))</f>
      </c>
      <c r="G57" s="63" t="str">
        <f>IF($J57=0,"",IF(INDEX('Прайс и заказ'!K:K,$J57)="","",INDEX('Прайс и заказ'!K:K,$J57)))</f>
      </c>
      <c r="H57" s="62" t="str">
        <f>IF($J57=0,"",IF(INDEX('Прайс и заказ'!L:L,$J57)="","",INDEX('Прайс и заказ'!L:L,$J57)))</f>
      </c>
      <c r="I57" s="13" t="str">
        <f>IF($J57=0,"",IF(INDEX('Прайс и заказ'!M:M,$J57)="","",INDEX('Прайс и заказ'!M:M,$J57)))</f>
      </c>
      <c r="J57" t="str">
        <f>IFERROR(MATCH(49,'Прайс и заказ'!$N$7:$N$100,0)+6,0)</f>
      </c>
      <c r="L57" t="str">
        <f>IF($J57=0,"",IF(INDEX('Прайс и заказ'!Q:Q,$J57)="","",INDEX('Прайс и заказ'!Q:Q,$J57)))</f>
      </c>
    </row>
    <row r="58" spans="1:12" customHeight="1" ht="40">
      <c r="A58" s="13" t="str">
        <f>IF($J58=0,"",IFERROR(_xlfn.IMAGE(INDEX('Прайс и заказ'!$O:$O,$J58)),""))</f>
      </c>
      <c r="B58" s="61" t="str">
        <f>IF($J58=0,"",IF(INDEX('Прайс и заказ'!B:B,$J58)="","",INDEX('Прайс и заказ'!B:B,$J58)))</f>
      </c>
      <c r="C58" s="64" t="str">
        <f>IF($J58=0,"",IF(INDEX('Прайс и заказ'!C:C,$J58)="","",INDEX('Прайс и заказ'!C:C,$J58)))</f>
      </c>
      <c r="D58" s="64" t="str">
        <f>IF($J58=0,"",IF(INDEX('Прайс и заказ'!D:D,$J58)="","",INDEX('Прайс и заказ'!D:D,$J58)))</f>
      </c>
      <c r="E58" s="61" t="str">
        <f>IF($J58=0,"",IF(INDEX('Прайс и заказ'!F:F,$J58)="","",INDEX('Прайс и заказ'!F:F,$J58)))</f>
      </c>
      <c r="F58" s="62" t="str">
        <f>IF($J58=0,"",IF(INDEX('Прайс и заказ'!I:I,$J58)="","",INDEX('Прайс и заказ'!I:I,$J58)))</f>
      </c>
      <c r="G58" s="63" t="str">
        <f>IF($J58=0,"",IF(INDEX('Прайс и заказ'!K:K,$J58)="","",INDEX('Прайс и заказ'!K:K,$J58)))</f>
      </c>
      <c r="H58" s="62" t="str">
        <f>IF($J58=0,"",IF(INDEX('Прайс и заказ'!L:L,$J58)="","",INDEX('Прайс и заказ'!L:L,$J58)))</f>
      </c>
      <c r="I58" s="13" t="str">
        <f>IF($J58=0,"",IF(INDEX('Прайс и заказ'!M:M,$J58)="","",INDEX('Прайс и заказ'!M:M,$J58)))</f>
      </c>
      <c r="J58" t="str">
        <f>IFERROR(MATCH(50,'Прайс и заказ'!$N$7:$N$100,0)+6,0)</f>
      </c>
      <c r="L58" t="str">
        <f>IF($J58=0,"",IF(INDEX('Прайс и заказ'!Q:Q,$J58)="","",INDEX('Прайс и заказ'!Q:Q,$J58)))</f>
      </c>
    </row>
    <row r="59" spans="1:12" customHeight="1" ht="40">
      <c r="A59" s="13" t="str">
        <f>IF($J59=0,"",IFERROR(_xlfn.IMAGE(INDEX('Прайс и заказ'!$O:$O,$J59)),""))</f>
      </c>
      <c r="B59" s="61" t="str">
        <f>IF($J59=0,"",IF(INDEX('Прайс и заказ'!B:B,$J59)="","",INDEX('Прайс и заказ'!B:B,$J59)))</f>
      </c>
      <c r="C59" s="64" t="str">
        <f>IF($J59=0,"",IF(INDEX('Прайс и заказ'!C:C,$J59)="","",INDEX('Прайс и заказ'!C:C,$J59)))</f>
      </c>
      <c r="D59" s="64" t="str">
        <f>IF($J59=0,"",IF(INDEX('Прайс и заказ'!D:D,$J59)="","",INDEX('Прайс и заказ'!D:D,$J59)))</f>
      </c>
      <c r="E59" s="61" t="str">
        <f>IF($J59=0,"",IF(INDEX('Прайс и заказ'!F:F,$J59)="","",INDEX('Прайс и заказ'!F:F,$J59)))</f>
      </c>
      <c r="F59" s="62" t="str">
        <f>IF($J59=0,"",IF(INDEX('Прайс и заказ'!I:I,$J59)="","",INDEX('Прайс и заказ'!I:I,$J59)))</f>
      </c>
      <c r="G59" s="63" t="str">
        <f>IF($J59=0,"",IF(INDEX('Прайс и заказ'!K:K,$J59)="","",INDEX('Прайс и заказ'!K:K,$J59)))</f>
      </c>
      <c r="H59" s="62" t="str">
        <f>IF($J59=0,"",IF(INDEX('Прайс и заказ'!L:L,$J59)="","",INDEX('Прайс и заказ'!L:L,$J59)))</f>
      </c>
      <c r="I59" s="13" t="str">
        <f>IF($J59=0,"",IF(INDEX('Прайс и заказ'!M:M,$J59)="","",INDEX('Прайс и заказ'!M:M,$J59)))</f>
      </c>
      <c r="J59" t="str">
        <f>IFERROR(MATCH(51,'Прайс и заказ'!$N$7:$N$100,0)+6,0)</f>
      </c>
      <c r="L59" t="str">
        <f>IF($J59=0,"",IF(INDEX('Прайс и заказ'!Q:Q,$J59)="","",INDEX('Прайс и заказ'!Q:Q,$J59)))</f>
      </c>
    </row>
    <row r="60" spans="1:12" customHeight="1" ht="40">
      <c r="A60" s="13" t="str">
        <f>IF($J60=0,"",IFERROR(_xlfn.IMAGE(INDEX('Прайс и заказ'!$O:$O,$J60)),""))</f>
      </c>
      <c r="B60" s="61" t="str">
        <f>IF($J60=0,"",IF(INDEX('Прайс и заказ'!B:B,$J60)="","",INDEX('Прайс и заказ'!B:B,$J60)))</f>
      </c>
      <c r="C60" s="64" t="str">
        <f>IF($J60=0,"",IF(INDEX('Прайс и заказ'!C:C,$J60)="","",INDEX('Прайс и заказ'!C:C,$J60)))</f>
      </c>
      <c r="D60" s="64" t="str">
        <f>IF($J60=0,"",IF(INDEX('Прайс и заказ'!D:D,$J60)="","",INDEX('Прайс и заказ'!D:D,$J60)))</f>
      </c>
      <c r="E60" s="61" t="str">
        <f>IF($J60=0,"",IF(INDEX('Прайс и заказ'!F:F,$J60)="","",INDEX('Прайс и заказ'!F:F,$J60)))</f>
      </c>
      <c r="F60" s="62" t="str">
        <f>IF($J60=0,"",IF(INDEX('Прайс и заказ'!I:I,$J60)="","",INDEX('Прайс и заказ'!I:I,$J60)))</f>
      </c>
      <c r="G60" s="63" t="str">
        <f>IF($J60=0,"",IF(INDEX('Прайс и заказ'!K:K,$J60)="","",INDEX('Прайс и заказ'!K:K,$J60)))</f>
      </c>
      <c r="H60" s="62" t="str">
        <f>IF($J60=0,"",IF(INDEX('Прайс и заказ'!L:L,$J60)="","",INDEX('Прайс и заказ'!L:L,$J60)))</f>
      </c>
      <c r="I60" s="13" t="str">
        <f>IF($J60=0,"",IF(INDEX('Прайс и заказ'!M:M,$J60)="","",INDEX('Прайс и заказ'!M:M,$J60)))</f>
      </c>
      <c r="J60" t="str">
        <f>IFERROR(MATCH(52,'Прайс и заказ'!$N$7:$N$100,0)+6,0)</f>
      </c>
      <c r="L60" t="str">
        <f>IF($J60=0,"",IF(INDEX('Прайс и заказ'!Q:Q,$J60)="","",INDEX('Прайс и заказ'!Q:Q,$J60)))</f>
      </c>
    </row>
    <row r="61" spans="1:12" customHeight="1" ht="40">
      <c r="A61" s="13" t="str">
        <f>IF($J61=0,"",IFERROR(_xlfn.IMAGE(INDEX('Прайс и заказ'!$O:$O,$J61)),""))</f>
      </c>
      <c r="B61" s="61" t="str">
        <f>IF($J61=0,"",IF(INDEX('Прайс и заказ'!B:B,$J61)="","",INDEX('Прайс и заказ'!B:B,$J61)))</f>
      </c>
      <c r="C61" s="64" t="str">
        <f>IF($J61=0,"",IF(INDEX('Прайс и заказ'!C:C,$J61)="","",INDEX('Прайс и заказ'!C:C,$J61)))</f>
      </c>
      <c r="D61" s="64" t="str">
        <f>IF($J61=0,"",IF(INDEX('Прайс и заказ'!D:D,$J61)="","",INDEX('Прайс и заказ'!D:D,$J61)))</f>
      </c>
      <c r="E61" s="61" t="str">
        <f>IF($J61=0,"",IF(INDEX('Прайс и заказ'!F:F,$J61)="","",INDEX('Прайс и заказ'!F:F,$J61)))</f>
      </c>
      <c r="F61" s="62" t="str">
        <f>IF($J61=0,"",IF(INDEX('Прайс и заказ'!I:I,$J61)="","",INDEX('Прайс и заказ'!I:I,$J61)))</f>
      </c>
      <c r="G61" s="63" t="str">
        <f>IF($J61=0,"",IF(INDEX('Прайс и заказ'!K:K,$J61)="","",INDEX('Прайс и заказ'!K:K,$J61)))</f>
      </c>
      <c r="H61" s="62" t="str">
        <f>IF($J61=0,"",IF(INDEX('Прайс и заказ'!L:L,$J61)="","",INDEX('Прайс и заказ'!L:L,$J61)))</f>
      </c>
      <c r="I61" s="13" t="str">
        <f>IF($J61=0,"",IF(INDEX('Прайс и заказ'!M:M,$J61)="","",INDEX('Прайс и заказ'!M:M,$J61)))</f>
      </c>
      <c r="J61" t="str">
        <f>IFERROR(MATCH(53,'Прайс и заказ'!$N$7:$N$100,0)+6,0)</f>
      </c>
      <c r="L61" t="str">
        <f>IF($J61=0,"",IF(INDEX('Прайс и заказ'!Q:Q,$J61)="","",INDEX('Прайс и заказ'!Q:Q,$J61)))</f>
      </c>
    </row>
    <row r="62" spans="1:12" customHeight="1" ht="40">
      <c r="A62" s="13" t="str">
        <f>IF($J62=0,"",IFERROR(_xlfn.IMAGE(INDEX('Прайс и заказ'!$O:$O,$J62)),""))</f>
      </c>
      <c r="B62" s="61" t="str">
        <f>IF($J62=0,"",IF(INDEX('Прайс и заказ'!B:B,$J62)="","",INDEX('Прайс и заказ'!B:B,$J62)))</f>
      </c>
      <c r="C62" s="64" t="str">
        <f>IF($J62=0,"",IF(INDEX('Прайс и заказ'!C:C,$J62)="","",INDEX('Прайс и заказ'!C:C,$J62)))</f>
      </c>
      <c r="D62" s="64" t="str">
        <f>IF($J62=0,"",IF(INDEX('Прайс и заказ'!D:D,$J62)="","",INDEX('Прайс и заказ'!D:D,$J62)))</f>
      </c>
      <c r="E62" s="61" t="str">
        <f>IF($J62=0,"",IF(INDEX('Прайс и заказ'!F:F,$J62)="","",INDEX('Прайс и заказ'!F:F,$J62)))</f>
      </c>
      <c r="F62" s="62" t="str">
        <f>IF($J62=0,"",IF(INDEX('Прайс и заказ'!I:I,$J62)="","",INDEX('Прайс и заказ'!I:I,$J62)))</f>
      </c>
      <c r="G62" s="63" t="str">
        <f>IF($J62=0,"",IF(INDEX('Прайс и заказ'!K:K,$J62)="","",INDEX('Прайс и заказ'!K:K,$J62)))</f>
      </c>
      <c r="H62" s="62" t="str">
        <f>IF($J62=0,"",IF(INDEX('Прайс и заказ'!L:L,$J62)="","",INDEX('Прайс и заказ'!L:L,$J62)))</f>
      </c>
      <c r="I62" s="13" t="str">
        <f>IF($J62=0,"",IF(INDEX('Прайс и заказ'!M:M,$J62)="","",INDEX('Прайс и заказ'!M:M,$J62)))</f>
      </c>
      <c r="J62" t="str">
        <f>IFERROR(MATCH(54,'Прайс и заказ'!$N$7:$N$100,0)+6,0)</f>
      </c>
      <c r="L62" t="str">
        <f>IF($J62=0,"",IF(INDEX('Прайс и заказ'!Q:Q,$J62)="","",INDEX('Прайс и заказ'!Q:Q,$J62)))</f>
      </c>
    </row>
    <row r="63" spans="1:12" customHeight="1" ht="40">
      <c r="A63" s="13" t="str">
        <f>IF($J63=0,"",IFERROR(_xlfn.IMAGE(INDEX('Прайс и заказ'!$O:$O,$J63)),""))</f>
      </c>
      <c r="B63" s="61" t="str">
        <f>IF($J63=0,"",IF(INDEX('Прайс и заказ'!B:B,$J63)="","",INDEX('Прайс и заказ'!B:B,$J63)))</f>
      </c>
      <c r="C63" s="64" t="str">
        <f>IF($J63=0,"",IF(INDEX('Прайс и заказ'!C:C,$J63)="","",INDEX('Прайс и заказ'!C:C,$J63)))</f>
      </c>
      <c r="D63" s="64" t="str">
        <f>IF($J63=0,"",IF(INDEX('Прайс и заказ'!D:D,$J63)="","",INDEX('Прайс и заказ'!D:D,$J63)))</f>
      </c>
      <c r="E63" s="61" t="str">
        <f>IF($J63=0,"",IF(INDEX('Прайс и заказ'!F:F,$J63)="","",INDEX('Прайс и заказ'!F:F,$J63)))</f>
      </c>
      <c r="F63" s="62" t="str">
        <f>IF($J63=0,"",IF(INDEX('Прайс и заказ'!I:I,$J63)="","",INDEX('Прайс и заказ'!I:I,$J63)))</f>
      </c>
      <c r="G63" s="63" t="str">
        <f>IF($J63=0,"",IF(INDEX('Прайс и заказ'!K:K,$J63)="","",INDEX('Прайс и заказ'!K:K,$J63)))</f>
      </c>
      <c r="H63" s="62" t="str">
        <f>IF($J63=0,"",IF(INDEX('Прайс и заказ'!L:L,$J63)="","",INDEX('Прайс и заказ'!L:L,$J63)))</f>
      </c>
      <c r="I63" s="13" t="str">
        <f>IF($J63=0,"",IF(INDEX('Прайс и заказ'!M:M,$J63)="","",INDEX('Прайс и заказ'!M:M,$J63)))</f>
      </c>
      <c r="J63" t="str">
        <f>IFERROR(MATCH(55,'Прайс и заказ'!$N$7:$N$100,0)+6,0)</f>
      </c>
      <c r="L63" t="str">
        <f>IF($J63=0,"",IF(INDEX('Прайс и заказ'!Q:Q,$J63)="","",INDEX('Прайс и заказ'!Q:Q,$J63)))</f>
      </c>
    </row>
    <row r="64" spans="1:12" customHeight="1" ht="40">
      <c r="A64" s="13" t="str">
        <f>IF($J64=0,"",IFERROR(_xlfn.IMAGE(INDEX('Прайс и заказ'!$O:$O,$J64)),""))</f>
      </c>
      <c r="B64" s="61" t="str">
        <f>IF($J64=0,"",IF(INDEX('Прайс и заказ'!B:B,$J64)="","",INDEX('Прайс и заказ'!B:B,$J64)))</f>
      </c>
      <c r="C64" s="64" t="str">
        <f>IF($J64=0,"",IF(INDEX('Прайс и заказ'!C:C,$J64)="","",INDEX('Прайс и заказ'!C:C,$J64)))</f>
      </c>
      <c r="D64" s="64" t="str">
        <f>IF($J64=0,"",IF(INDEX('Прайс и заказ'!D:D,$J64)="","",INDEX('Прайс и заказ'!D:D,$J64)))</f>
      </c>
      <c r="E64" s="61" t="str">
        <f>IF($J64=0,"",IF(INDEX('Прайс и заказ'!F:F,$J64)="","",INDEX('Прайс и заказ'!F:F,$J64)))</f>
      </c>
      <c r="F64" s="62" t="str">
        <f>IF($J64=0,"",IF(INDEX('Прайс и заказ'!I:I,$J64)="","",INDEX('Прайс и заказ'!I:I,$J64)))</f>
      </c>
      <c r="G64" s="63" t="str">
        <f>IF($J64=0,"",IF(INDEX('Прайс и заказ'!K:K,$J64)="","",INDEX('Прайс и заказ'!K:K,$J64)))</f>
      </c>
      <c r="H64" s="62" t="str">
        <f>IF($J64=0,"",IF(INDEX('Прайс и заказ'!L:L,$J64)="","",INDEX('Прайс и заказ'!L:L,$J64)))</f>
      </c>
      <c r="I64" s="13" t="str">
        <f>IF($J64=0,"",IF(INDEX('Прайс и заказ'!M:M,$J64)="","",INDEX('Прайс и заказ'!M:M,$J64)))</f>
      </c>
      <c r="J64" t="str">
        <f>IFERROR(MATCH(56,'Прайс и заказ'!$N$7:$N$100,0)+6,0)</f>
      </c>
      <c r="L64" t="str">
        <f>IF($J64=0,"",IF(INDEX('Прайс и заказ'!Q:Q,$J64)="","",INDEX('Прайс и заказ'!Q:Q,$J64)))</f>
      </c>
    </row>
    <row r="65" spans="1:12" customHeight="1" ht="40">
      <c r="A65" s="13" t="str">
        <f>IF($J65=0,"",IFERROR(_xlfn.IMAGE(INDEX('Прайс и заказ'!$O:$O,$J65)),""))</f>
      </c>
      <c r="B65" s="61" t="str">
        <f>IF($J65=0,"",IF(INDEX('Прайс и заказ'!B:B,$J65)="","",INDEX('Прайс и заказ'!B:B,$J65)))</f>
      </c>
      <c r="C65" s="64" t="str">
        <f>IF($J65=0,"",IF(INDEX('Прайс и заказ'!C:C,$J65)="","",INDEX('Прайс и заказ'!C:C,$J65)))</f>
      </c>
      <c r="D65" s="64" t="str">
        <f>IF($J65=0,"",IF(INDEX('Прайс и заказ'!D:D,$J65)="","",INDEX('Прайс и заказ'!D:D,$J65)))</f>
      </c>
      <c r="E65" s="61" t="str">
        <f>IF($J65=0,"",IF(INDEX('Прайс и заказ'!F:F,$J65)="","",INDEX('Прайс и заказ'!F:F,$J65)))</f>
      </c>
      <c r="F65" s="62" t="str">
        <f>IF($J65=0,"",IF(INDEX('Прайс и заказ'!I:I,$J65)="","",INDEX('Прайс и заказ'!I:I,$J65)))</f>
      </c>
      <c r="G65" s="63" t="str">
        <f>IF($J65=0,"",IF(INDEX('Прайс и заказ'!K:K,$J65)="","",INDEX('Прайс и заказ'!K:K,$J65)))</f>
      </c>
      <c r="H65" s="62" t="str">
        <f>IF($J65=0,"",IF(INDEX('Прайс и заказ'!L:L,$J65)="","",INDEX('Прайс и заказ'!L:L,$J65)))</f>
      </c>
      <c r="I65" s="13" t="str">
        <f>IF($J65=0,"",IF(INDEX('Прайс и заказ'!M:M,$J65)="","",INDEX('Прайс и заказ'!M:M,$J65)))</f>
      </c>
      <c r="J65" t="str">
        <f>IFERROR(MATCH(57,'Прайс и заказ'!$N$7:$N$100,0)+6,0)</f>
      </c>
      <c r="L65" t="str">
        <f>IF($J65=0,"",IF(INDEX('Прайс и заказ'!Q:Q,$J65)="","",INDEX('Прайс и заказ'!Q:Q,$J65)))</f>
      </c>
    </row>
    <row r="66" spans="1:12" customHeight="1" ht="40">
      <c r="A66" s="13" t="str">
        <f>IF($J66=0,"",IFERROR(_xlfn.IMAGE(INDEX('Прайс и заказ'!$O:$O,$J66)),""))</f>
      </c>
      <c r="B66" s="61" t="str">
        <f>IF($J66=0,"",IF(INDEX('Прайс и заказ'!B:B,$J66)="","",INDEX('Прайс и заказ'!B:B,$J66)))</f>
      </c>
      <c r="C66" s="64" t="str">
        <f>IF($J66=0,"",IF(INDEX('Прайс и заказ'!C:C,$J66)="","",INDEX('Прайс и заказ'!C:C,$J66)))</f>
      </c>
      <c r="D66" s="64" t="str">
        <f>IF($J66=0,"",IF(INDEX('Прайс и заказ'!D:D,$J66)="","",INDEX('Прайс и заказ'!D:D,$J66)))</f>
      </c>
      <c r="E66" s="61" t="str">
        <f>IF($J66=0,"",IF(INDEX('Прайс и заказ'!F:F,$J66)="","",INDEX('Прайс и заказ'!F:F,$J66)))</f>
      </c>
      <c r="F66" s="62" t="str">
        <f>IF($J66=0,"",IF(INDEX('Прайс и заказ'!I:I,$J66)="","",INDEX('Прайс и заказ'!I:I,$J66)))</f>
      </c>
      <c r="G66" s="63" t="str">
        <f>IF($J66=0,"",IF(INDEX('Прайс и заказ'!K:K,$J66)="","",INDEX('Прайс и заказ'!K:K,$J66)))</f>
      </c>
      <c r="H66" s="62" t="str">
        <f>IF($J66=0,"",IF(INDEX('Прайс и заказ'!L:L,$J66)="","",INDEX('Прайс и заказ'!L:L,$J66)))</f>
      </c>
      <c r="I66" s="13" t="str">
        <f>IF($J66=0,"",IF(INDEX('Прайс и заказ'!M:M,$J66)="","",INDEX('Прайс и заказ'!M:M,$J66)))</f>
      </c>
      <c r="J66" t="str">
        <f>IFERROR(MATCH(58,'Прайс и заказ'!$N$7:$N$100,0)+6,0)</f>
      </c>
      <c r="L66" t="str">
        <f>IF($J66=0,"",IF(INDEX('Прайс и заказ'!Q:Q,$J66)="","",INDEX('Прайс и заказ'!Q:Q,$J66)))</f>
      </c>
    </row>
    <row r="67" spans="1:12" customHeight="1" ht="40">
      <c r="A67" s="13" t="str">
        <f>IF($J67=0,"",IFERROR(_xlfn.IMAGE(INDEX('Прайс и заказ'!$O:$O,$J67)),""))</f>
      </c>
      <c r="B67" s="61" t="str">
        <f>IF($J67=0,"",IF(INDEX('Прайс и заказ'!B:B,$J67)="","",INDEX('Прайс и заказ'!B:B,$J67)))</f>
      </c>
      <c r="C67" s="64" t="str">
        <f>IF($J67=0,"",IF(INDEX('Прайс и заказ'!C:C,$J67)="","",INDEX('Прайс и заказ'!C:C,$J67)))</f>
      </c>
      <c r="D67" s="64" t="str">
        <f>IF($J67=0,"",IF(INDEX('Прайс и заказ'!D:D,$J67)="","",INDEX('Прайс и заказ'!D:D,$J67)))</f>
      </c>
      <c r="E67" s="61" t="str">
        <f>IF($J67=0,"",IF(INDEX('Прайс и заказ'!F:F,$J67)="","",INDEX('Прайс и заказ'!F:F,$J67)))</f>
      </c>
      <c r="F67" s="62" t="str">
        <f>IF($J67=0,"",IF(INDEX('Прайс и заказ'!I:I,$J67)="","",INDEX('Прайс и заказ'!I:I,$J67)))</f>
      </c>
      <c r="G67" s="63" t="str">
        <f>IF($J67=0,"",IF(INDEX('Прайс и заказ'!K:K,$J67)="","",INDEX('Прайс и заказ'!K:K,$J67)))</f>
      </c>
      <c r="H67" s="62" t="str">
        <f>IF($J67=0,"",IF(INDEX('Прайс и заказ'!L:L,$J67)="","",INDEX('Прайс и заказ'!L:L,$J67)))</f>
      </c>
      <c r="I67" s="13" t="str">
        <f>IF($J67=0,"",IF(INDEX('Прайс и заказ'!M:M,$J67)="","",INDEX('Прайс и заказ'!M:M,$J67)))</f>
      </c>
      <c r="J67" t="str">
        <f>IFERROR(MATCH(59,'Прайс и заказ'!$N$7:$N$100,0)+6,0)</f>
      </c>
      <c r="L67" t="str">
        <f>IF($J67=0,"",IF(INDEX('Прайс и заказ'!Q:Q,$J67)="","",INDEX('Прайс и заказ'!Q:Q,$J67)))</f>
      </c>
    </row>
    <row r="68" spans="1:12" customHeight="1" ht="40">
      <c r="A68" s="13" t="str">
        <f>IF($J68=0,"",IFERROR(_xlfn.IMAGE(INDEX('Прайс и заказ'!$O:$O,$J68)),""))</f>
      </c>
      <c r="B68" s="61" t="str">
        <f>IF($J68=0,"",IF(INDEX('Прайс и заказ'!B:B,$J68)="","",INDEX('Прайс и заказ'!B:B,$J68)))</f>
      </c>
      <c r="C68" s="64" t="str">
        <f>IF($J68=0,"",IF(INDEX('Прайс и заказ'!C:C,$J68)="","",INDEX('Прайс и заказ'!C:C,$J68)))</f>
      </c>
      <c r="D68" s="64" t="str">
        <f>IF($J68=0,"",IF(INDEX('Прайс и заказ'!D:D,$J68)="","",INDEX('Прайс и заказ'!D:D,$J68)))</f>
      </c>
      <c r="E68" s="61" t="str">
        <f>IF($J68=0,"",IF(INDEX('Прайс и заказ'!F:F,$J68)="","",INDEX('Прайс и заказ'!F:F,$J68)))</f>
      </c>
      <c r="F68" s="62" t="str">
        <f>IF($J68=0,"",IF(INDEX('Прайс и заказ'!I:I,$J68)="","",INDEX('Прайс и заказ'!I:I,$J68)))</f>
      </c>
      <c r="G68" s="63" t="str">
        <f>IF($J68=0,"",IF(INDEX('Прайс и заказ'!K:K,$J68)="","",INDEX('Прайс и заказ'!K:K,$J68)))</f>
      </c>
      <c r="H68" s="62" t="str">
        <f>IF($J68=0,"",IF(INDEX('Прайс и заказ'!L:L,$J68)="","",INDEX('Прайс и заказ'!L:L,$J68)))</f>
      </c>
      <c r="I68" s="13" t="str">
        <f>IF($J68=0,"",IF(INDEX('Прайс и заказ'!M:M,$J68)="","",INDEX('Прайс и заказ'!M:M,$J68)))</f>
      </c>
      <c r="J68" t="str">
        <f>IFERROR(MATCH(60,'Прайс и заказ'!$N$7:$N$100,0)+6,0)</f>
      </c>
      <c r="L68" t="str">
        <f>IF($J68=0,"",IF(INDEX('Прайс и заказ'!Q:Q,$J68)="","",INDEX('Прайс и заказ'!Q:Q,$J68)))</f>
      </c>
    </row>
    <row r="69" spans="1:12" customHeight="1" ht="40">
      <c r="A69" s="13" t="str">
        <f>IF($J69=0,"",IFERROR(_xlfn.IMAGE(INDEX('Прайс и заказ'!$O:$O,$J69)),""))</f>
      </c>
      <c r="B69" s="61" t="str">
        <f>IF($J69=0,"",IF(INDEX('Прайс и заказ'!B:B,$J69)="","",INDEX('Прайс и заказ'!B:B,$J69)))</f>
      </c>
      <c r="C69" s="64" t="str">
        <f>IF($J69=0,"",IF(INDEX('Прайс и заказ'!C:C,$J69)="","",INDEX('Прайс и заказ'!C:C,$J69)))</f>
      </c>
      <c r="D69" s="64" t="str">
        <f>IF($J69=0,"",IF(INDEX('Прайс и заказ'!D:D,$J69)="","",INDEX('Прайс и заказ'!D:D,$J69)))</f>
      </c>
      <c r="E69" s="61" t="str">
        <f>IF($J69=0,"",IF(INDEX('Прайс и заказ'!F:F,$J69)="","",INDEX('Прайс и заказ'!F:F,$J69)))</f>
      </c>
      <c r="F69" s="62" t="str">
        <f>IF($J69=0,"",IF(INDEX('Прайс и заказ'!I:I,$J69)="","",INDEX('Прайс и заказ'!I:I,$J69)))</f>
      </c>
      <c r="G69" s="63" t="str">
        <f>IF($J69=0,"",IF(INDEX('Прайс и заказ'!K:K,$J69)="","",INDEX('Прайс и заказ'!K:K,$J69)))</f>
      </c>
      <c r="H69" s="62" t="str">
        <f>IF($J69=0,"",IF(INDEX('Прайс и заказ'!L:L,$J69)="","",INDEX('Прайс и заказ'!L:L,$J69)))</f>
      </c>
      <c r="I69" s="13" t="str">
        <f>IF($J69=0,"",IF(INDEX('Прайс и заказ'!M:M,$J69)="","",INDEX('Прайс и заказ'!M:M,$J69)))</f>
      </c>
      <c r="J69" t="str">
        <f>IFERROR(MATCH(61,'Прайс и заказ'!$N$7:$N$100,0)+6,0)</f>
      </c>
      <c r="L69" t="str">
        <f>IF($J69=0,"",IF(INDEX('Прайс и заказ'!Q:Q,$J69)="","",INDEX('Прайс и заказ'!Q:Q,$J69)))</f>
      </c>
    </row>
    <row r="70" spans="1:12" customHeight="1" ht="40">
      <c r="A70" s="13" t="str">
        <f>IF($J70=0,"",IFERROR(_xlfn.IMAGE(INDEX('Прайс и заказ'!$O:$O,$J70)),""))</f>
      </c>
      <c r="B70" s="61" t="str">
        <f>IF($J70=0,"",IF(INDEX('Прайс и заказ'!B:B,$J70)="","",INDEX('Прайс и заказ'!B:B,$J70)))</f>
      </c>
      <c r="C70" s="64" t="str">
        <f>IF($J70=0,"",IF(INDEX('Прайс и заказ'!C:C,$J70)="","",INDEX('Прайс и заказ'!C:C,$J70)))</f>
      </c>
      <c r="D70" s="64" t="str">
        <f>IF($J70=0,"",IF(INDEX('Прайс и заказ'!D:D,$J70)="","",INDEX('Прайс и заказ'!D:D,$J70)))</f>
      </c>
      <c r="E70" s="61" t="str">
        <f>IF($J70=0,"",IF(INDEX('Прайс и заказ'!F:F,$J70)="","",INDEX('Прайс и заказ'!F:F,$J70)))</f>
      </c>
      <c r="F70" s="62" t="str">
        <f>IF($J70=0,"",IF(INDEX('Прайс и заказ'!I:I,$J70)="","",INDEX('Прайс и заказ'!I:I,$J70)))</f>
      </c>
      <c r="G70" s="63" t="str">
        <f>IF($J70=0,"",IF(INDEX('Прайс и заказ'!K:K,$J70)="","",INDEX('Прайс и заказ'!K:K,$J70)))</f>
      </c>
      <c r="H70" s="62" t="str">
        <f>IF($J70=0,"",IF(INDEX('Прайс и заказ'!L:L,$J70)="","",INDEX('Прайс и заказ'!L:L,$J70)))</f>
      </c>
      <c r="I70" s="13" t="str">
        <f>IF($J70=0,"",IF(INDEX('Прайс и заказ'!M:M,$J70)="","",INDEX('Прайс и заказ'!M:M,$J70)))</f>
      </c>
      <c r="J70" t="str">
        <f>IFERROR(MATCH(62,'Прайс и заказ'!$N$7:$N$100,0)+6,0)</f>
      </c>
      <c r="L70" t="str">
        <f>IF($J70=0,"",IF(INDEX('Прайс и заказ'!Q:Q,$J70)="","",INDEX('Прайс и заказ'!Q:Q,$J70)))</f>
      </c>
    </row>
    <row r="71" spans="1:12" customHeight="1" ht="40">
      <c r="A71" s="13" t="str">
        <f>IF($J71=0,"",IFERROR(_xlfn.IMAGE(INDEX('Прайс и заказ'!$O:$O,$J71)),""))</f>
      </c>
      <c r="B71" s="61" t="str">
        <f>IF($J71=0,"",IF(INDEX('Прайс и заказ'!B:B,$J71)="","",INDEX('Прайс и заказ'!B:B,$J71)))</f>
      </c>
      <c r="C71" s="64" t="str">
        <f>IF($J71=0,"",IF(INDEX('Прайс и заказ'!C:C,$J71)="","",INDEX('Прайс и заказ'!C:C,$J71)))</f>
      </c>
      <c r="D71" s="64" t="str">
        <f>IF($J71=0,"",IF(INDEX('Прайс и заказ'!D:D,$J71)="","",INDEX('Прайс и заказ'!D:D,$J71)))</f>
      </c>
      <c r="E71" s="61" t="str">
        <f>IF($J71=0,"",IF(INDEX('Прайс и заказ'!F:F,$J71)="","",INDEX('Прайс и заказ'!F:F,$J71)))</f>
      </c>
      <c r="F71" s="62" t="str">
        <f>IF($J71=0,"",IF(INDEX('Прайс и заказ'!I:I,$J71)="","",INDEX('Прайс и заказ'!I:I,$J71)))</f>
      </c>
      <c r="G71" s="63" t="str">
        <f>IF($J71=0,"",IF(INDEX('Прайс и заказ'!K:K,$J71)="","",INDEX('Прайс и заказ'!K:K,$J71)))</f>
      </c>
      <c r="H71" s="62" t="str">
        <f>IF($J71=0,"",IF(INDEX('Прайс и заказ'!L:L,$J71)="","",INDEX('Прайс и заказ'!L:L,$J71)))</f>
      </c>
      <c r="I71" s="13" t="str">
        <f>IF($J71=0,"",IF(INDEX('Прайс и заказ'!M:M,$J71)="","",INDEX('Прайс и заказ'!M:M,$J71)))</f>
      </c>
      <c r="J71" t="str">
        <f>IFERROR(MATCH(63,'Прайс и заказ'!$N$7:$N$100,0)+6,0)</f>
      </c>
      <c r="L71" t="str">
        <f>IF($J71=0,"",IF(INDEX('Прайс и заказ'!Q:Q,$J71)="","",INDEX('Прайс и заказ'!Q:Q,$J71)))</f>
      </c>
    </row>
    <row r="72" spans="1:12" customHeight="1" ht="40">
      <c r="A72" s="13" t="str">
        <f>IF($J72=0,"",IFERROR(_xlfn.IMAGE(INDEX('Прайс и заказ'!$O:$O,$J72)),""))</f>
      </c>
      <c r="B72" s="61" t="str">
        <f>IF($J72=0,"",IF(INDEX('Прайс и заказ'!B:B,$J72)="","",INDEX('Прайс и заказ'!B:B,$J72)))</f>
      </c>
      <c r="C72" s="64" t="str">
        <f>IF($J72=0,"",IF(INDEX('Прайс и заказ'!C:C,$J72)="","",INDEX('Прайс и заказ'!C:C,$J72)))</f>
      </c>
      <c r="D72" s="64" t="str">
        <f>IF($J72=0,"",IF(INDEX('Прайс и заказ'!D:D,$J72)="","",INDEX('Прайс и заказ'!D:D,$J72)))</f>
      </c>
      <c r="E72" s="61" t="str">
        <f>IF($J72=0,"",IF(INDEX('Прайс и заказ'!F:F,$J72)="","",INDEX('Прайс и заказ'!F:F,$J72)))</f>
      </c>
      <c r="F72" s="62" t="str">
        <f>IF($J72=0,"",IF(INDEX('Прайс и заказ'!I:I,$J72)="","",INDEX('Прайс и заказ'!I:I,$J72)))</f>
      </c>
      <c r="G72" s="63" t="str">
        <f>IF($J72=0,"",IF(INDEX('Прайс и заказ'!K:K,$J72)="","",INDEX('Прайс и заказ'!K:K,$J72)))</f>
      </c>
      <c r="H72" s="62" t="str">
        <f>IF($J72=0,"",IF(INDEX('Прайс и заказ'!L:L,$J72)="","",INDEX('Прайс и заказ'!L:L,$J72)))</f>
      </c>
      <c r="I72" s="13" t="str">
        <f>IF($J72=0,"",IF(INDEX('Прайс и заказ'!M:M,$J72)="","",INDEX('Прайс и заказ'!M:M,$J72)))</f>
      </c>
      <c r="J72" t="str">
        <f>IFERROR(MATCH(64,'Прайс и заказ'!$N$7:$N$100,0)+6,0)</f>
      </c>
      <c r="L72" t="str">
        <f>IF($J72=0,"",IF(INDEX('Прайс и заказ'!Q:Q,$J72)="","",INDEX('Прайс и заказ'!Q:Q,$J72)))</f>
      </c>
    </row>
    <row r="73" spans="1:12" customHeight="1" ht="40">
      <c r="A73" s="13" t="str">
        <f>IF($J73=0,"",IFERROR(_xlfn.IMAGE(INDEX('Прайс и заказ'!$O:$O,$J73)),""))</f>
      </c>
      <c r="B73" s="61" t="str">
        <f>IF($J73=0,"",IF(INDEX('Прайс и заказ'!B:B,$J73)="","",INDEX('Прайс и заказ'!B:B,$J73)))</f>
      </c>
      <c r="C73" s="64" t="str">
        <f>IF($J73=0,"",IF(INDEX('Прайс и заказ'!C:C,$J73)="","",INDEX('Прайс и заказ'!C:C,$J73)))</f>
      </c>
      <c r="D73" s="64" t="str">
        <f>IF($J73=0,"",IF(INDEX('Прайс и заказ'!D:D,$J73)="","",INDEX('Прайс и заказ'!D:D,$J73)))</f>
      </c>
      <c r="E73" s="61" t="str">
        <f>IF($J73=0,"",IF(INDEX('Прайс и заказ'!F:F,$J73)="","",INDEX('Прайс и заказ'!F:F,$J73)))</f>
      </c>
      <c r="F73" s="62" t="str">
        <f>IF($J73=0,"",IF(INDEX('Прайс и заказ'!I:I,$J73)="","",INDEX('Прайс и заказ'!I:I,$J73)))</f>
      </c>
      <c r="G73" s="63" t="str">
        <f>IF($J73=0,"",IF(INDEX('Прайс и заказ'!K:K,$J73)="","",INDEX('Прайс и заказ'!K:K,$J73)))</f>
      </c>
      <c r="H73" s="62" t="str">
        <f>IF($J73=0,"",IF(INDEX('Прайс и заказ'!L:L,$J73)="","",INDEX('Прайс и заказ'!L:L,$J73)))</f>
      </c>
      <c r="I73" s="13" t="str">
        <f>IF($J73=0,"",IF(INDEX('Прайс и заказ'!M:M,$J73)="","",INDEX('Прайс и заказ'!M:M,$J73)))</f>
      </c>
      <c r="J73" t="str">
        <f>IFERROR(MATCH(65,'Прайс и заказ'!$N$7:$N$100,0)+6,0)</f>
      </c>
      <c r="L73" t="str">
        <f>IF($J73=0,"",IF(INDEX('Прайс и заказ'!Q:Q,$J73)="","",INDEX('Прайс и заказ'!Q:Q,$J73)))</f>
      </c>
    </row>
    <row r="74" spans="1:12" customHeight="1" ht="40">
      <c r="A74" s="13" t="str">
        <f>IF($J74=0,"",IFERROR(_xlfn.IMAGE(INDEX('Прайс и заказ'!$O:$O,$J74)),""))</f>
      </c>
      <c r="B74" s="61" t="str">
        <f>IF($J74=0,"",IF(INDEX('Прайс и заказ'!B:B,$J74)="","",INDEX('Прайс и заказ'!B:B,$J74)))</f>
      </c>
      <c r="C74" s="64" t="str">
        <f>IF($J74=0,"",IF(INDEX('Прайс и заказ'!C:C,$J74)="","",INDEX('Прайс и заказ'!C:C,$J74)))</f>
      </c>
      <c r="D74" s="64" t="str">
        <f>IF($J74=0,"",IF(INDEX('Прайс и заказ'!D:D,$J74)="","",INDEX('Прайс и заказ'!D:D,$J74)))</f>
      </c>
      <c r="E74" s="61" t="str">
        <f>IF($J74=0,"",IF(INDEX('Прайс и заказ'!F:F,$J74)="","",INDEX('Прайс и заказ'!F:F,$J74)))</f>
      </c>
      <c r="F74" s="62" t="str">
        <f>IF($J74=0,"",IF(INDEX('Прайс и заказ'!I:I,$J74)="","",INDEX('Прайс и заказ'!I:I,$J74)))</f>
      </c>
      <c r="G74" s="63" t="str">
        <f>IF($J74=0,"",IF(INDEX('Прайс и заказ'!K:K,$J74)="","",INDEX('Прайс и заказ'!K:K,$J74)))</f>
      </c>
      <c r="H74" s="62" t="str">
        <f>IF($J74=0,"",IF(INDEX('Прайс и заказ'!L:L,$J74)="","",INDEX('Прайс и заказ'!L:L,$J74)))</f>
      </c>
      <c r="I74" s="13" t="str">
        <f>IF($J74=0,"",IF(INDEX('Прайс и заказ'!M:M,$J74)="","",INDEX('Прайс и заказ'!M:M,$J74)))</f>
      </c>
      <c r="J74" t="str">
        <f>IFERROR(MATCH(66,'Прайс и заказ'!$N$7:$N$100,0)+6,0)</f>
      </c>
      <c r="L74" t="str">
        <f>IF($J74=0,"",IF(INDEX('Прайс и заказ'!Q:Q,$J74)="","",INDEX('Прайс и заказ'!Q:Q,$J74)))</f>
      </c>
    </row>
    <row r="75" spans="1:12" customHeight="1" ht="40">
      <c r="A75" s="13" t="str">
        <f>IF($J75=0,"",IFERROR(_xlfn.IMAGE(INDEX('Прайс и заказ'!$O:$O,$J75)),""))</f>
      </c>
      <c r="B75" s="61" t="str">
        <f>IF($J75=0,"",IF(INDEX('Прайс и заказ'!B:B,$J75)="","",INDEX('Прайс и заказ'!B:B,$J75)))</f>
      </c>
      <c r="C75" s="64" t="str">
        <f>IF($J75=0,"",IF(INDEX('Прайс и заказ'!C:C,$J75)="","",INDEX('Прайс и заказ'!C:C,$J75)))</f>
      </c>
      <c r="D75" s="64" t="str">
        <f>IF($J75=0,"",IF(INDEX('Прайс и заказ'!D:D,$J75)="","",INDEX('Прайс и заказ'!D:D,$J75)))</f>
      </c>
      <c r="E75" s="61" t="str">
        <f>IF($J75=0,"",IF(INDEX('Прайс и заказ'!F:F,$J75)="","",INDEX('Прайс и заказ'!F:F,$J75)))</f>
      </c>
      <c r="F75" s="62" t="str">
        <f>IF($J75=0,"",IF(INDEX('Прайс и заказ'!I:I,$J75)="","",INDEX('Прайс и заказ'!I:I,$J75)))</f>
      </c>
      <c r="G75" s="63" t="str">
        <f>IF($J75=0,"",IF(INDEX('Прайс и заказ'!K:K,$J75)="","",INDEX('Прайс и заказ'!K:K,$J75)))</f>
      </c>
      <c r="H75" s="62" t="str">
        <f>IF($J75=0,"",IF(INDEX('Прайс и заказ'!L:L,$J75)="","",INDEX('Прайс и заказ'!L:L,$J75)))</f>
      </c>
      <c r="I75" s="13" t="str">
        <f>IF($J75=0,"",IF(INDEX('Прайс и заказ'!M:M,$J75)="","",INDEX('Прайс и заказ'!M:M,$J75)))</f>
      </c>
      <c r="J75" t="str">
        <f>IFERROR(MATCH(67,'Прайс и заказ'!$N$7:$N$100,0)+6,0)</f>
      </c>
      <c r="L75" t="str">
        <f>IF($J75=0,"",IF(INDEX('Прайс и заказ'!Q:Q,$J75)="","",INDEX('Прайс и заказ'!Q:Q,$J75)))</f>
      </c>
    </row>
    <row r="76" spans="1:12" customHeight="1" ht="40">
      <c r="A76" s="13" t="str">
        <f>IF($J76=0,"",IFERROR(_xlfn.IMAGE(INDEX('Прайс и заказ'!$O:$O,$J76)),""))</f>
      </c>
      <c r="B76" s="61" t="str">
        <f>IF($J76=0,"",IF(INDEX('Прайс и заказ'!B:B,$J76)="","",INDEX('Прайс и заказ'!B:B,$J76)))</f>
      </c>
      <c r="C76" s="64" t="str">
        <f>IF($J76=0,"",IF(INDEX('Прайс и заказ'!C:C,$J76)="","",INDEX('Прайс и заказ'!C:C,$J76)))</f>
      </c>
      <c r="D76" s="64" t="str">
        <f>IF($J76=0,"",IF(INDEX('Прайс и заказ'!D:D,$J76)="","",INDEX('Прайс и заказ'!D:D,$J76)))</f>
      </c>
      <c r="E76" s="61" t="str">
        <f>IF($J76=0,"",IF(INDEX('Прайс и заказ'!F:F,$J76)="","",INDEX('Прайс и заказ'!F:F,$J76)))</f>
      </c>
      <c r="F76" s="62" t="str">
        <f>IF($J76=0,"",IF(INDEX('Прайс и заказ'!I:I,$J76)="","",INDEX('Прайс и заказ'!I:I,$J76)))</f>
      </c>
      <c r="G76" s="63" t="str">
        <f>IF($J76=0,"",IF(INDEX('Прайс и заказ'!K:K,$J76)="","",INDEX('Прайс и заказ'!K:K,$J76)))</f>
      </c>
      <c r="H76" s="62" t="str">
        <f>IF($J76=0,"",IF(INDEX('Прайс и заказ'!L:L,$J76)="","",INDEX('Прайс и заказ'!L:L,$J76)))</f>
      </c>
      <c r="I76" s="13" t="str">
        <f>IF($J76=0,"",IF(INDEX('Прайс и заказ'!M:M,$J76)="","",INDEX('Прайс и заказ'!M:M,$J76)))</f>
      </c>
      <c r="J76" t="str">
        <f>IFERROR(MATCH(68,'Прайс и заказ'!$N$7:$N$100,0)+6,0)</f>
      </c>
      <c r="L76" t="str">
        <f>IF($J76=0,"",IF(INDEX('Прайс и заказ'!Q:Q,$J76)="","",INDEX('Прайс и заказ'!Q:Q,$J76)))</f>
      </c>
    </row>
    <row r="77" spans="1:12" customHeight="1" ht="40">
      <c r="A77" s="13" t="str">
        <f>IF($J77=0,"",IFERROR(_xlfn.IMAGE(INDEX('Прайс и заказ'!$O:$O,$J77)),""))</f>
      </c>
      <c r="B77" s="61" t="str">
        <f>IF($J77=0,"",IF(INDEX('Прайс и заказ'!B:B,$J77)="","",INDEX('Прайс и заказ'!B:B,$J77)))</f>
      </c>
      <c r="C77" s="64" t="str">
        <f>IF($J77=0,"",IF(INDEX('Прайс и заказ'!C:C,$J77)="","",INDEX('Прайс и заказ'!C:C,$J77)))</f>
      </c>
      <c r="D77" s="64" t="str">
        <f>IF($J77=0,"",IF(INDEX('Прайс и заказ'!D:D,$J77)="","",INDEX('Прайс и заказ'!D:D,$J77)))</f>
      </c>
      <c r="E77" s="61" t="str">
        <f>IF($J77=0,"",IF(INDEX('Прайс и заказ'!F:F,$J77)="","",INDEX('Прайс и заказ'!F:F,$J77)))</f>
      </c>
      <c r="F77" s="62" t="str">
        <f>IF($J77=0,"",IF(INDEX('Прайс и заказ'!I:I,$J77)="","",INDEX('Прайс и заказ'!I:I,$J77)))</f>
      </c>
      <c r="G77" s="63" t="str">
        <f>IF($J77=0,"",IF(INDEX('Прайс и заказ'!K:K,$J77)="","",INDEX('Прайс и заказ'!K:K,$J77)))</f>
      </c>
      <c r="H77" s="62" t="str">
        <f>IF($J77=0,"",IF(INDEX('Прайс и заказ'!L:L,$J77)="","",INDEX('Прайс и заказ'!L:L,$J77)))</f>
      </c>
      <c r="I77" s="13" t="str">
        <f>IF($J77=0,"",IF(INDEX('Прайс и заказ'!M:M,$J77)="","",INDEX('Прайс и заказ'!M:M,$J77)))</f>
      </c>
      <c r="J77" t="str">
        <f>IFERROR(MATCH(69,'Прайс и заказ'!$N$7:$N$100,0)+6,0)</f>
      </c>
      <c r="L77" t="str">
        <f>IF($J77=0,"",IF(INDEX('Прайс и заказ'!Q:Q,$J77)="","",INDEX('Прайс и заказ'!Q:Q,$J77)))</f>
      </c>
    </row>
    <row r="78" spans="1:12" customHeight="1" ht="40">
      <c r="A78" s="13" t="str">
        <f>IF($J78=0,"",IFERROR(_xlfn.IMAGE(INDEX('Прайс и заказ'!$O:$O,$J78)),""))</f>
      </c>
      <c r="B78" s="61" t="str">
        <f>IF($J78=0,"",IF(INDEX('Прайс и заказ'!B:B,$J78)="","",INDEX('Прайс и заказ'!B:B,$J78)))</f>
      </c>
      <c r="C78" s="64" t="str">
        <f>IF($J78=0,"",IF(INDEX('Прайс и заказ'!C:C,$J78)="","",INDEX('Прайс и заказ'!C:C,$J78)))</f>
      </c>
      <c r="D78" s="64" t="str">
        <f>IF($J78=0,"",IF(INDEX('Прайс и заказ'!D:D,$J78)="","",INDEX('Прайс и заказ'!D:D,$J78)))</f>
      </c>
      <c r="E78" s="61" t="str">
        <f>IF($J78=0,"",IF(INDEX('Прайс и заказ'!F:F,$J78)="","",INDEX('Прайс и заказ'!F:F,$J78)))</f>
      </c>
      <c r="F78" s="62" t="str">
        <f>IF($J78=0,"",IF(INDEX('Прайс и заказ'!I:I,$J78)="","",INDEX('Прайс и заказ'!I:I,$J78)))</f>
      </c>
      <c r="G78" s="63" t="str">
        <f>IF($J78=0,"",IF(INDEX('Прайс и заказ'!K:K,$J78)="","",INDEX('Прайс и заказ'!K:K,$J78)))</f>
      </c>
      <c r="H78" s="62" t="str">
        <f>IF($J78=0,"",IF(INDEX('Прайс и заказ'!L:L,$J78)="","",INDEX('Прайс и заказ'!L:L,$J78)))</f>
      </c>
      <c r="I78" s="13" t="str">
        <f>IF($J78=0,"",IF(INDEX('Прайс и заказ'!M:M,$J78)="","",INDEX('Прайс и заказ'!M:M,$J78)))</f>
      </c>
      <c r="J78" t="str">
        <f>IFERROR(MATCH(70,'Прайс и заказ'!$N$7:$N$100,0)+6,0)</f>
      </c>
      <c r="L78" t="str">
        <f>IF($J78=0,"",IF(INDEX('Прайс и заказ'!Q:Q,$J78)="","",INDEX('Прайс и заказ'!Q:Q,$J78)))</f>
      </c>
    </row>
    <row r="79" spans="1:12" customHeight="1" ht="40">
      <c r="A79" s="13" t="str">
        <f>IF($J79=0,"",IFERROR(_xlfn.IMAGE(INDEX('Прайс и заказ'!$O:$O,$J79)),""))</f>
      </c>
      <c r="B79" s="61" t="str">
        <f>IF($J79=0,"",IF(INDEX('Прайс и заказ'!B:B,$J79)="","",INDEX('Прайс и заказ'!B:B,$J79)))</f>
      </c>
      <c r="C79" s="64" t="str">
        <f>IF($J79=0,"",IF(INDEX('Прайс и заказ'!C:C,$J79)="","",INDEX('Прайс и заказ'!C:C,$J79)))</f>
      </c>
      <c r="D79" s="64" t="str">
        <f>IF($J79=0,"",IF(INDEX('Прайс и заказ'!D:D,$J79)="","",INDEX('Прайс и заказ'!D:D,$J79)))</f>
      </c>
      <c r="E79" s="61" t="str">
        <f>IF($J79=0,"",IF(INDEX('Прайс и заказ'!F:F,$J79)="","",INDEX('Прайс и заказ'!F:F,$J79)))</f>
      </c>
      <c r="F79" s="62" t="str">
        <f>IF($J79=0,"",IF(INDEX('Прайс и заказ'!I:I,$J79)="","",INDEX('Прайс и заказ'!I:I,$J79)))</f>
      </c>
      <c r="G79" s="63" t="str">
        <f>IF($J79=0,"",IF(INDEX('Прайс и заказ'!K:K,$J79)="","",INDEX('Прайс и заказ'!K:K,$J79)))</f>
      </c>
      <c r="H79" s="62" t="str">
        <f>IF($J79=0,"",IF(INDEX('Прайс и заказ'!L:L,$J79)="","",INDEX('Прайс и заказ'!L:L,$J79)))</f>
      </c>
      <c r="I79" s="13" t="str">
        <f>IF($J79=0,"",IF(INDEX('Прайс и заказ'!M:M,$J79)="","",INDEX('Прайс и заказ'!M:M,$J79)))</f>
      </c>
      <c r="J79" t="str">
        <f>IFERROR(MATCH(71,'Прайс и заказ'!$N$7:$N$100,0)+6,0)</f>
      </c>
      <c r="L79" t="str">
        <f>IF($J79=0,"",IF(INDEX('Прайс и заказ'!Q:Q,$J79)="","",INDEX('Прайс и заказ'!Q:Q,$J79)))</f>
      </c>
    </row>
    <row r="80" spans="1:12" customHeight="1" ht="40">
      <c r="A80" s="13" t="str">
        <f>IF($J80=0,"",IFERROR(_xlfn.IMAGE(INDEX('Прайс и заказ'!$O:$O,$J80)),""))</f>
      </c>
      <c r="B80" s="61" t="str">
        <f>IF($J80=0,"",IF(INDEX('Прайс и заказ'!B:B,$J80)="","",INDEX('Прайс и заказ'!B:B,$J80)))</f>
      </c>
      <c r="C80" s="64" t="str">
        <f>IF($J80=0,"",IF(INDEX('Прайс и заказ'!C:C,$J80)="","",INDEX('Прайс и заказ'!C:C,$J80)))</f>
      </c>
      <c r="D80" s="64" t="str">
        <f>IF($J80=0,"",IF(INDEX('Прайс и заказ'!D:D,$J80)="","",INDEX('Прайс и заказ'!D:D,$J80)))</f>
      </c>
      <c r="E80" s="61" t="str">
        <f>IF($J80=0,"",IF(INDEX('Прайс и заказ'!F:F,$J80)="","",INDEX('Прайс и заказ'!F:F,$J80)))</f>
      </c>
      <c r="F80" s="62" t="str">
        <f>IF($J80=0,"",IF(INDEX('Прайс и заказ'!I:I,$J80)="","",INDEX('Прайс и заказ'!I:I,$J80)))</f>
      </c>
      <c r="G80" s="63" t="str">
        <f>IF($J80=0,"",IF(INDEX('Прайс и заказ'!K:K,$J80)="","",INDEX('Прайс и заказ'!K:K,$J80)))</f>
      </c>
      <c r="H80" s="62" t="str">
        <f>IF($J80=0,"",IF(INDEX('Прайс и заказ'!L:L,$J80)="","",INDEX('Прайс и заказ'!L:L,$J80)))</f>
      </c>
      <c r="I80" s="13" t="str">
        <f>IF($J80=0,"",IF(INDEX('Прайс и заказ'!M:M,$J80)="","",INDEX('Прайс и заказ'!M:M,$J80)))</f>
      </c>
      <c r="J80" t="str">
        <f>IFERROR(MATCH(72,'Прайс и заказ'!$N$7:$N$100,0)+6,0)</f>
      </c>
      <c r="L80" t="str">
        <f>IF($J80=0,"",IF(INDEX('Прайс и заказ'!Q:Q,$J80)="","",INDEX('Прайс и заказ'!Q:Q,$J80)))</f>
      </c>
    </row>
    <row r="81" spans="1:12" customHeight="1" ht="40">
      <c r="A81" s="13" t="str">
        <f>IF($J81=0,"",IFERROR(_xlfn.IMAGE(INDEX('Прайс и заказ'!$O:$O,$J81)),""))</f>
      </c>
      <c r="B81" s="61" t="str">
        <f>IF($J81=0,"",IF(INDEX('Прайс и заказ'!B:B,$J81)="","",INDEX('Прайс и заказ'!B:B,$J81)))</f>
      </c>
      <c r="C81" s="64" t="str">
        <f>IF($J81=0,"",IF(INDEX('Прайс и заказ'!C:C,$J81)="","",INDEX('Прайс и заказ'!C:C,$J81)))</f>
      </c>
      <c r="D81" s="64" t="str">
        <f>IF($J81=0,"",IF(INDEX('Прайс и заказ'!D:D,$J81)="","",INDEX('Прайс и заказ'!D:D,$J81)))</f>
      </c>
      <c r="E81" s="61" t="str">
        <f>IF($J81=0,"",IF(INDEX('Прайс и заказ'!F:F,$J81)="","",INDEX('Прайс и заказ'!F:F,$J81)))</f>
      </c>
      <c r="F81" s="62" t="str">
        <f>IF($J81=0,"",IF(INDEX('Прайс и заказ'!I:I,$J81)="","",INDEX('Прайс и заказ'!I:I,$J81)))</f>
      </c>
      <c r="G81" s="63" t="str">
        <f>IF($J81=0,"",IF(INDEX('Прайс и заказ'!K:K,$J81)="","",INDEX('Прайс и заказ'!K:K,$J81)))</f>
      </c>
      <c r="H81" s="62" t="str">
        <f>IF($J81=0,"",IF(INDEX('Прайс и заказ'!L:L,$J81)="","",INDEX('Прайс и заказ'!L:L,$J81)))</f>
      </c>
      <c r="I81" s="13" t="str">
        <f>IF($J81=0,"",IF(INDEX('Прайс и заказ'!M:M,$J81)="","",INDEX('Прайс и заказ'!M:M,$J81)))</f>
      </c>
      <c r="J81" t="str">
        <f>IFERROR(MATCH(73,'Прайс и заказ'!$N$7:$N$100,0)+6,0)</f>
      </c>
      <c r="L81" t="str">
        <f>IF($J81=0,"",IF(INDEX('Прайс и заказ'!Q:Q,$J81)="","",INDEX('Прайс и заказ'!Q:Q,$J81)))</f>
      </c>
    </row>
    <row r="82" spans="1:12" customHeight="1" ht="40">
      <c r="A82" s="13" t="str">
        <f>IF($J82=0,"",IFERROR(_xlfn.IMAGE(INDEX('Прайс и заказ'!$O:$O,$J82)),""))</f>
      </c>
      <c r="B82" s="61" t="str">
        <f>IF($J82=0,"",IF(INDEX('Прайс и заказ'!B:B,$J82)="","",INDEX('Прайс и заказ'!B:B,$J82)))</f>
      </c>
      <c r="C82" s="64" t="str">
        <f>IF($J82=0,"",IF(INDEX('Прайс и заказ'!C:C,$J82)="","",INDEX('Прайс и заказ'!C:C,$J82)))</f>
      </c>
      <c r="D82" s="64" t="str">
        <f>IF($J82=0,"",IF(INDEX('Прайс и заказ'!D:D,$J82)="","",INDEX('Прайс и заказ'!D:D,$J82)))</f>
      </c>
      <c r="E82" s="61" t="str">
        <f>IF($J82=0,"",IF(INDEX('Прайс и заказ'!F:F,$J82)="","",INDEX('Прайс и заказ'!F:F,$J82)))</f>
      </c>
      <c r="F82" s="62" t="str">
        <f>IF($J82=0,"",IF(INDEX('Прайс и заказ'!I:I,$J82)="","",INDEX('Прайс и заказ'!I:I,$J82)))</f>
      </c>
      <c r="G82" s="63" t="str">
        <f>IF($J82=0,"",IF(INDEX('Прайс и заказ'!K:K,$J82)="","",INDEX('Прайс и заказ'!K:K,$J82)))</f>
      </c>
      <c r="H82" s="62" t="str">
        <f>IF($J82=0,"",IF(INDEX('Прайс и заказ'!L:L,$J82)="","",INDEX('Прайс и заказ'!L:L,$J82)))</f>
      </c>
      <c r="I82" s="13" t="str">
        <f>IF($J82=0,"",IF(INDEX('Прайс и заказ'!M:M,$J82)="","",INDEX('Прайс и заказ'!M:M,$J82)))</f>
      </c>
      <c r="J82" t="str">
        <f>IFERROR(MATCH(74,'Прайс и заказ'!$N$7:$N$100,0)+6,0)</f>
      </c>
      <c r="L82" t="str">
        <f>IF($J82=0,"",IF(INDEX('Прайс и заказ'!Q:Q,$J82)="","",INDEX('Прайс и заказ'!Q:Q,$J82)))</f>
      </c>
    </row>
    <row r="83" spans="1:12" customHeight="1" ht="40">
      <c r="A83" s="13" t="str">
        <f>IF($J83=0,"",IFERROR(_xlfn.IMAGE(INDEX('Прайс и заказ'!$O:$O,$J83)),""))</f>
      </c>
      <c r="B83" s="61" t="str">
        <f>IF($J83=0,"",IF(INDEX('Прайс и заказ'!B:B,$J83)="","",INDEX('Прайс и заказ'!B:B,$J83)))</f>
      </c>
      <c r="C83" s="64" t="str">
        <f>IF($J83=0,"",IF(INDEX('Прайс и заказ'!C:C,$J83)="","",INDEX('Прайс и заказ'!C:C,$J83)))</f>
      </c>
      <c r="D83" s="64" t="str">
        <f>IF($J83=0,"",IF(INDEX('Прайс и заказ'!D:D,$J83)="","",INDEX('Прайс и заказ'!D:D,$J83)))</f>
      </c>
      <c r="E83" s="61" t="str">
        <f>IF($J83=0,"",IF(INDEX('Прайс и заказ'!F:F,$J83)="","",INDEX('Прайс и заказ'!F:F,$J83)))</f>
      </c>
      <c r="F83" s="62" t="str">
        <f>IF($J83=0,"",IF(INDEX('Прайс и заказ'!I:I,$J83)="","",INDEX('Прайс и заказ'!I:I,$J83)))</f>
      </c>
      <c r="G83" s="63" t="str">
        <f>IF($J83=0,"",IF(INDEX('Прайс и заказ'!K:K,$J83)="","",INDEX('Прайс и заказ'!K:K,$J83)))</f>
      </c>
      <c r="H83" s="62" t="str">
        <f>IF($J83=0,"",IF(INDEX('Прайс и заказ'!L:L,$J83)="","",INDEX('Прайс и заказ'!L:L,$J83)))</f>
      </c>
      <c r="I83" s="13" t="str">
        <f>IF($J83=0,"",IF(INDEX('Прайс и заказ'!M:M,$J83)="","",INDEX('Прайс и заказ'!M:M,$J83)))</f>
      </c>
      <c r="J83" t="str">
        <f>IFERROR(MATCH(75,'Прайс и заказ'!$N$7:$N$100,0)+6,0)</f>
      </c>
      <c r="L83" t="str">
        <f>IF($J83=0,"",IF(INDEX('Прайс и заказ'!Q:Q,$J83)="","",INDEX('Прайс и заказ'!Q:Q,$J83)))</f>
      </c>
    </row>
    <row r="84" spans="1:12" customHeight="1" ht="40">
      <c r="A84" s="13" t="str">
        <f>IF($J84=0,"",IFERROR(_xlfn.IMAGE(INDEX('Прайс и заказ'!$O:$O,$J84)),""))</f>
      </c>
      <c r="B84" s="61" t="str">
        <f>IF($J84=0,"",IF(INDEX('Прайс и заказ'!B:B,$J84)="","",INDEX('Прайс и заказ'!B:B,$J84)))</f>
      </c>
      <c r="C84" s="64" t="str">
        <f>IF($J84=0,"",IF(INDEX('Прайс и заказ'!C:C,$J84)="","",INDEX('Прайс и заказ'!C:C,$J84)))</f>
      </c>
      <c r="D84" s="64" t="str">
        <f>IF($J84=0,"",IF(INDEX('Прайс и заказ'!D:D,$J84)="","",INDEX('Прайс и заказ'!D:D,$J84)))</f>
      </c>
      <c r="E84" s="61" t="str">
        <f>IF($J84=0,"",IF(INDEX('Прайс и заказ'!F:F,$J84)="","",INDEX('Прайс и заказ'!F:F,$J84)))</f>
      </c>
      <c r="F84" s="62" t="str">
        <f>IF($J84=0,"",IF(INDEX('Прайс и заказ'!I:I,$J84)="","",INDEX('Прайс и заказ'!I:I,$J84)))</f>
      </c>
      <c r="G84" s="63" t="str">
        <f>IF($J84=0,"",IF(INDEX('Прайс и заказ'!K:K,$J84)="","",INDEX('Прайс и заказ'!K:K,$J84)))</f>
      </c>
      <c r="H84" s="62" t="str">
        <f>IF($J84=0,"",IF(INDEX('Прайс и заказ'!L:L,$J84)="","",INDEX('Прайс и заказ'!L:L,$J84)))</f>
      </c>
      <c r="I84" s="13" t="str">
        <f>IF($J84=0,"",IF(INDEX('Прайс и заказ'!M:M,$J84)="","",INDEX('Прайс и заказ'!M:M,$J84)))</f>
      </c>
      <c r="J84" t="str">
        <f>IFERROR(MATCH(76,'Прайс и заказ'!$N$7:$N$100,0)+6,0)</f>
      </c>
      <c r="L84" t="str">
        <f>IF($J84=0,"",IF(INDEX('Прайс и заказ'!Q:Q,$J84)="","",INDEX('Прайс и заказ'!Q:Q,$J84)))</f>
      </c>
    </row>
    <row r="85" spans="1:12" customHeight="1" ht="40">
      <c r="A85" s="13" t="str">
        <f>IF($J85=0,"",IFERROR(_xlfn.IMAGE(INDEX('Прайс и заказ'!$O:$O,$J85)),""))</f>
      </c>
      <c r="B85" s="61" t="str">
        <f>IF($J85=0,"",IF(INDEX('Прайс и заказ'!B:B,$J85)="","",INDEX('Прайс и заказ'!B:B,$J85)))</f>
      </c>
      <c r="C85" s="64" t="str">
        <f>IF($J85=0,"",IF(INDEX('Прайс и заказ'!C:C,$J85)="","",INDEX('Прайс и заказ'!C:C,$J85)))</f>
      </c>
      <c r="D85" s="64" t="str">
        <f>IF($J85=0,"",IF(INDEX('Прайс и заказ'!D:D,$J85)="","",INDEX('Прайс и заказ'!D:D,$J85)))</f>
      </c>
      <c r="E85" s="61" t="str">
        <f>IF($J85=0,"",IF(INDEX('Прайс и заказ'!F:F,$J85)="","",INDEX('Прайс и заказ'!F:F,$J85)))</f>
      </c>
      <c r="F85" s="62" t="str">
        <f>IF($J85=0,"",IF(INDEX('Прайс и заказ'!I:I,$J85)="","",INDEX('Прайс и заказ'!I:I,$J85)))</f>
      </c>
      <c r="G85" s="63" t="str">
        <f>IF($J85=0,"",IF(INDEX('Прайс и заказ'!K:K,$J85)="","",INDEX('Прайс и заказ'!K:K,$J85)))</f>
      </c>
      <c r="H85" s="62" t="str">
        <f>IF($J85=0,"",IF(INDEX('Прайс и заказ'!L:L,$J85)="","",INDEX('Прайс и заказ'!L:L,$J85)))</f>
      </c>
      <c r="I85" s="13" t="str">
        <f>IF($J85=0,"",IF(INDEX('Прайс и заказ'!M:M,$J85)="","",INDEX('Прайс и заказ'!M:M,$J85)))</f>
      </c>
      <c r="J85" t="str">
        <f>IFERROR(MATCH(77,'Прайс и заказ'!$N$7:$N$100,0)+6,0)</f>
      </c>
      <c r="L85" t="str">
        <f>IF($J85=0,"",IF(INDEX('Прайс и заказ'!Q:Q,$J85)="","",INDEX('Прайс и заказ'!Q:Q,$J85)))</f>
      </c>
    </row>
    <row r="86" spans="1:12" customHeight="1" ht="40">
      <c r="A86" s="13" t="str">
        <f>IF($J86=0,"",IFERROR(_xlfn.IMAGE(INDEX('Прайс и заказ'!$O:$O,$J86)),""))</f>
      </c>
      <c r="B86" s="61" t="str">
        <f>IF($J86=0,"",IF(INDEX('Прайс и заказ'!B:B,$J86)="","",INDEX('Прайс и заказ'!B:B,$J86)))</f>
      </c>
      <c r="C86" s="64" t="str">
        <f>IF($J86=0,"",IF(INDEX('Прайс и заказ'!C:C,$J86)="","",INDEX('Прайс и заказ'!C:C,$J86)))</f>
      </c>
      <c r="D86" s="64" t="str">
        <f>IF($J86=0,"",IF(INDEX('Прайс и заказ'!D:D,$J86)="","",INDEX('Прайс и заказ'!D:D,$J86)))</f>
      </c>
      <c r="E86" s="61" t="str">
        <f>IF($J86=0,"",IF(INDEX('Прайс и заказ'!F:F,$J86)="","",INDEX('Прайс и заказ'!F:F,$J86)))</f>
      </c>
      <c r="F86" s="62" t="str">
        <f>IF($J86=0,"",IF(INDEX('Прайс и заказ'!I:I,$J86)="","",INDEX('Прайс и заказ'!I:I,$J86)))</f>
      </c>
      <c r="G86" s="63" t="str">
        <f>IF($J86=0,"",IF(INDEX('Прайс и заказ'!K:K,$J86)="","",INDEX('Прайс и заказ'!K:K,$J86)))</f>
      </c>
      <c r="H86" s="62" t="str">
        <f>IF($J86=0,"",IF(INDEX('Прайс и заказ'!L:L,$J86)="","",INDEX('Прайс и заказ'!L:L,$J86)))</f>
      </c>
      <c r="I86" s="13" t="str">
        <f>IF($J86=0,"",IF(INDEX('Прайс и заказ'!M:M,$J86)="","",INDEX('Прайс и заказ'!M:M,$J86)))</f>
      </c>
      <c r="J86" t="str">
        <f>IFERROR(MATCH(78,'Прайс и заказ'!$N$7:$N$100,0)+6,0)</f>
      </c>
      <c r="L86" t="str">
        <f>IF($J86=0,"",IF(INDEX('Прайс и заказ'!Q:Q,$J86)="","",INDEX('Прайс и заказ'!Q:Q,$J86)))</f>
      </c>
    </row>
    <row r="87" spans="1:12" customHeight="1" ht="40">
      <c r="A87" s="13" t="str">
        <f>IF($J87=0,"",IFERROR(_xlfn.IMAGE(INDEX('Прайс и заказ'!$O:$O,$J87)),""))</f>
      </c>
      <c r="B87" s="61" t="str">
        <f>IF($J87=0,"",IF(INDEX('Прайс и заказ'!B:B,$J87)="","",INDEX('Прайс и заказ'!B:B,$J87)))</f>
      </c>
      <c r="C87" s="64" t="str">
        <f>IF($J87=0,"",IF(INDEX('Прайс и заказ'!C:C,$J87)="","",INDEX('Прайс и заказ'!C:C,$J87)))</f>
      </c>
      <c r="D87" s="64" t="str">
        <f>IF($J87=0,"",IF(INDEX('Прайс и заказ'!D:D,$J87)="","",INDEX('Прайс и заказ'!D:D,$J87)))</f>
      </c>
      <c r="E87" s="61" t="str">
        <f>IF($J87=0,"",IF(INDEX('Прайс и заказ'!F:F,$J87)="","",INDEX('Прайс и заказ'!F:F,$J87)))</f>
      </c>
      <c r="F87" s="62" t="str">
        <f>IF($J87=0,"",IF(INDEX('Прайс и заказ'!I:I,$J87)="","",INDEX('Прайс и заказ'!I:I,$J87)))</f>
      </c>
      <c r="G87" s="63" t="str">
        <f>IF($J87=0,"",IF(INDEX('Прайс и заказ'!K:K,$J87)="","",INDEX('Прайс и заказ'!K:K,$J87)))</f>
      </c>
      <c r="H87" s="62" t="str">
        <f>IF($J87=0,"",IF(INDEX('Прайс и заказ'!L:L,$J87)="","",INDEX('Прайс и заказ'!L:L,$J87)))</f>
      </c>
      <c r="I87" s="13" t="str">
        <f>IF($J87=0,"",IF(INDEX('Прайс и заказ'!M:M,$J87)="","",INDEX('Прайс и заказ'!M:M,$J87)))</f>
      </c>
      <c r="J87" t="str">
        <f>IFERROR(MATCH(79,'Прайс и заказ'!$N$7:$N$100,0)+6,0)</f>
      </c>
      <c r="L87" t="str">
        <f>IF($J87=0,"",IF(INDEX('Прайс и заказ'!Q:Q,$J87)="","",INDEX('Прайс и заказ'!Q:Q,$J87)))</f>
      </c>
    </row>
    <row r="88" spans="1:12" customHeight="1" ht="40">
      <c r="A88" s="13" t="str">
        <f>IF($J88=0,"",IFERROR(_xlfn.IMAGE(INDEX('Прайс и заказ'!$O:$O,$J88)),""))</f>
      </c>
      <c r="B88" s="61" t="str">
        <f>IF($J88=0,"",IF(INDEX('Прайс и заказ'!B:B,$J88)="","",INDEX('Прайс и заказ'!B:B,$J88)))</f>
      </c>
      <c r="C88" s="64" t="str">
        <f>IF($J88=0,"",IF(INDEX('Прайс и заказ'!C:C,$J88)="","",INDEX('Прайс и заказ'!C:C,$J88)))</f>
      </c>
      <c r="D88" s="64" t="str">
        <f>IF($J88=0,"",IF(INDEX('Прайс и заказ'!D:D,$J88)="","",INDEX('Прайс и заказ'!D:D,$J88)))</f>
      </c>
      <c r="E88" s="61" t="str">
        <f>IF($J88=0,"",IF(INDEX('Прайс и заказ'!F:F,$J88)="","",INDEX('Прайс и заказ'!F:F,$J88)))</f>
      </c>
      <c r="F88" s="62" t="str">
        <f>IF($J88=0,"",IF(INDEX('Прайс и заказ'!I:I,$J88)="","",INDEX('Прайс и заказ'!I:I,$J88)))</f>
      </c>
      <c r="G88" s="63" t="str">
        <f>IF($J88=0,"",IF(INDEX('Прайс и заказ'!K:K,$J88)="","",INDEX('Прайс и заказ'!K:K,$J88)))</f>
      </c>
      <c r="H88" s="62" t="str">
        <f>IF($J88=0,"",IF(INDEX('Прайс и заказ'!L:L,$J88)="","",INDEX('Прайс и заказ'!L:L,$J88)))</f>
      </c>
      <c r="I88" s="13" t="str">
        <f>IF($J88=0,"",IF(INDEX('Прайс и заказ'!M:M,$J88)="","",INDEX('Прайс и заказ'!M:M,$J88)))</f>
      </c>
      <c r="J88" t="str">
        <f>IFERROR(MATCH(80,'Прайс и заказ'!$N$7:$N$100,0)+6,0)</f>
      </c>
      <c r="L88" t="str">
        <f>IF($J88=0,"",IF(INDEX('Прайс и заказ'!Q:Q,$J88)="","",INDEX('Прайс и заказ'!Q:Q,$J88)))</f>
      </c>
    </row>
    <row r="89" spans="1:12" customHeight="1" ht="40">
      <c r="A89" s="13" t="str">
        <f>IF($J89=0,"",IFERROR(_xlfn.IMAGE(INDEX('Прайс и заказ'!$O:$O,$J89)),""))</f>
      </c>
      <c r="B89" s="61" t="str">
        <f>IF($J89=0,"",IF(INDEX('Прайс и заказ'!B:B,$J89)="","",INDEX('Прайс и заказ'!B:B,$J89)))</f>
      </c>
      <c r="C89" s="64" t="str">
        <f>IF($J89=0,"",IF(INDEX('Прайс и заказ'!C:C,$J89)="","",INDEX('Прайс и заказ'!C:C,$J89)))</f>
      </c>
      <c r="D89" s="64" t="str">
        <f>IF($J89=0,"",IF(INDEX('Прайс и заказ'!D:D,$J89)="","",INDEX('Прайс и заказ'!D:D,$J89)))</f>
      </c>
      <c r="E89" s="61" t="str">
        <f>IF($J89=0,"",IF(INDEX('Прайс и заказ'!F:F,$J89)="","",INDEX('Прайс и заказ'!F:F,$J89)))</f>
      </c>
      <c r="F89" s="62" t="str">
        <f>IF($J89=0,"",IF(INDEX('Прайс и заказ'!I:I,$J89)="","",INDEX('Прайс и заказ'!I:I,$J89)))</f>
      </c>
      <c r="G89" s="63" t="str">
        <f>IF($J89=0,"",IF(INDEX('Прайс и заказ'!K:K,$J89)="","",INDEX('Прайс и заказ'!K:K,$J89)))</f>
      </c>
      <c r="H89" s="62" t="str">
        <f>IF($J89=0,"",IF(INDEX('Прайс и заказ'!L:L,$J89)="","",INDEX('Прайс и заказ'!L:L,$J89)))</f>
      </c>
      <c r="I89" s="13" t="str">
        <f>IF($J89=0,"",IF(INDEX('Прайс и заказ'!M:M,$J89)="","",INDEX('Прайс и заказ'!M:M,$J89)))</f>
      </c>
      <c r="J89" t="str">
        <f>IFERROR(MATCH(81,'Прайс и заказ'!$N$7:$N$100,0)+6,0)</f>
      </c>
      <c r="L89" t="str">
        <f>IF($J89=0,"",IF(INDEX('Прайс и заказ'!Q:Q,$J89)="","",INDEX('Прайс и заказ'!Q:Q,$J89)))</f>
      </c>
    </row>
    <row r="90" spans="1:12" customHeight="1" ht="40">
      <c r="A90" s="13" t="str">
        <f>IF($J90=0,"",IFERROR(_xlfn.IMAGE(INDEX('Прайс и заказ'!$O:$O,$J90)),""))</f>
      </c>
      <c r="B90" s="61" t="str">
        <f>IF($J90=0,"",IF(INDEX('Прайс и заказ'!B:B,$J90)="","",INDEX('Прайс и заказ'!B:B,$J90)))</f>
      </c>
      <c r="C90" s="64" t="str">
        <f>IF($J90=0,"",IF(INDEX('Прайс и заказ'!C:C,$J90)="","",INDEX('Прайс и заказ'!C:C,$J90)))</f>
      </c>
      <c r="D90" s="64" t="str">
        <f>IF($J90=0,"",IF(INDEX('Прайс и заказ'!D:D,$J90)="","",INDEX('Прайс и заказ'!D:D,$J90)))</f>
      </c>
      <c r="E90" s="61" t="str">
        <f>IF($J90=0,"",IF(INDEX('Прайс и заказ'!F:F,$J90)="","",INDEX('Прайс и заказ'!F:F,$J90)))</f>
      </c>
      <c r="F90" s="62" t="str">
        <f>IF($J90=0,"",IF(INDEX('Прайс и заказ'!I:I,$J90)="","",INDEX('Прайс и заказ'!I:I,$J90)))</f>
      </c>
      <c r="G90" s="63" t="str">
        <f>IF($J90=0,"",IF(INDEX('Прайс и заказ'!K:K,$J90)="","",INDEX('Прайс и заказ'!K:K,$J90)))</f>
      </c>
      <c r="H90" s="62" t="str">
        <f>IF($J90=0,"",IF(INDEX('Прайс и заказ'!L:L,$J90)="","",INDEX('Прайс и заказ'!L:L,$J90)))</f>
      </c>
      <c r="I90" s="13" t="str">
        <f>IF($J90=0,"",IF(INDEX('Прайс и заказ'!M:M,$J90)="","",INDEX('Прайс и заказ'!M:M,$J90)))</f>
      </c>
      <c r="J90" t="str">
        <f>IFERROR(MATCH(82,'Прайс и заказ'!$N$7:$N$100,0)+6,0)</f>
      </c>
      <c r="L90" t="str">
        <f>IF($J90=0,"",IF(INDEX('Прайс и заказ'!Q:Q,$J90)="","",INDEX('Прайс и заказ'!Q:Q,$J90)))</f>
      </c>
    </row>
    <row r="91" spans="1:12" customHeight="1" ht="40">
      <c r="A91" s="13" t="str">
        <f>IF($J91=0,"",IFERROR(_xlfn.IMAGE(INDEX('Прайс и заказ'!$O:$O,$J91)),""))</f>
      </c>
      <c r="B91" s="61" t="str">
        <f>IF($J91=0,"",IF(INDEX('Прайс и заказ'!B:B,$J91)="","",INDEX('Прайс и заказ'!B:B,$J91)))</f>
      </c>
      <c r="C91" s="64" t="str">
        <f>IF($J91=0,"",IF(INDEX('Прайс и заказ'!C:C,$J91)="","",INDEX('Прайс и заказ'!C:C,$J91)))</f>
      </c>
      <c r="D91" s="64" t="str">
        <f>IF($J91=0,"",IF(INDEX('Прайс и заказ'!D:D,$J91)="","",INDEX('Прайс и заказ'!D:D,$J91)))</f>
      </c>
      <c r="E91" s="61" t="str">
        <f>IF($J91=0,"",IF(INDEX('Прайс и заказ'!F:F,$J91)="","",INDEX('Прайс и заказ'!F:F,$J91)))</f>
      </c>
      <c r="F91" s="62" t="str">
        <f>IF($J91=0,"",IF(INDEX('Прайс и заказ'!I:I,$J91)="","",INDEX('Прайс и заказ'!I:I,$J91)))</f>
      </c>
      <c r="G91" s="63" t="str">
        <f>IF($J91=0,"",IF(INDEX('Прайс и заказ'!K:K,$J91)="","",INDEX('Прайс и заказ'!K:K,$J91)))</f>
      </c>
      <c r="H91" s="62" t="str">
        <f>IF($J91=0,"",IF(INDEX('Прайс и заказ'!L:L,$J91)="","",INDEX('Прайс и заказ'!L:L,$J91)))</f>
      </c>
      <c r="I91" s="13" t="str">
        <f>IF($J91=0,"",IF(INDEX('Прайс и заказ'!M:M,$J91)="","",INDEX('Прайс и заказ'!M:M,$J91)))</f>
      </c>
      <c r="J91" t="str">
        <f>IFERROR(MATCH(83,'Прайс и заказ'!$N$7:$N$100,0)+6,0)</f>
      </c>
      <c r="L91" t="str">
        <f>IF($J91=0,"",IF(INDEX('Прайс и заказ'!Q:Q,$J91)="","",INDEX('Прайс и заказ'!Q:Q,$J91)))</f>
      </c>
    </row>
    <row r="92" spans="1:12" customHeight="1" ht="40">
      <c r="A92" s="13" t="str">
        <f>IF($J92=0,"",IFERROR(_xlfn.IMAGE(INDEX('Прайс и заказ'!$O:$O,$J92)),""))</f>
      </c>
      <c r="B92" s="61" t="str">
        <f>IF($J92=0,"",IF(INDEX('Прайс и заказ'!B:B,$J92)="","",INDEX('Прайс и заказ'!B:B,$J92)))</f>
      </c>
      <c r="C92" s="64" t="str">
        <f>IF($J92=0,"",IF(INDEX('Прайс и заказ'!C:C,$J92)="","",INDEX('Прайс и заказ'!C:C,$J92)))</f>
      </c>
      <c r="D92" s="64" t="str">
        <f>IF($J92=0,"",IF(INDEX('Прайс и заказ'!D:D,$J92)="","",INDEX('Прайс и заказ'!D:D,$J92)))</f>
      </c>
      <c r="E92" s="61" t="str">
        <f>IF($J92=0,"",IF(INDEX('Прайс и заказ'!F:F,$J92)="","",INDEX('Прайс и заказ'!F:F,$J92)))</f>
      </c>
      <c r="F92" s="62" t="str">
        <f>IF($J92=0,"",IF(INDEX('Прайс и заказ'!I:I,$J92)="","",INDEX('Прайс и заказ'!I:I,$J92)))</f>
      </c>
      <c r="G92" s="63" t="str">
        <f>IF($J92=0,"",IF(INDEX('Прайс и заказ'!K:K,$J92)="","",INDEX('Прайс и заказ'!K:K,$J92)))</f>
      </c>
      <c r="H92" s="62" t="str">
        <f>IF($J92=0,"",IF(INDEX('Прайс и заказ'!L:L,$J92)="","",INDEX('Прайс и заказ'!L:L,$J92)))</f>
      </c>
      <c r="I92" s="13" t="str">
        <f>IF($J92=0,"",IF(INDEX('Прайс и заказ'!M:M,$J92)="","",INDEX('Прайс и заказ'!M:M,$J92)))</f>
      </c>
      <c r="J92" t="str">
        <f>IFERROR(MATCH(84,'Прайс и заказ'!$N$7:$N$100,0)+6,0)</f>
      </c>
      <c r="L92" t="str">
        <f>IF($J92=0,"",IF(INDEX('Прайс и заказ'!Q:Q,$J92)="","",INDEX('Прайс и заказ'!Q:Q,$J92)))</f>
      </c>
    </row>
    <row r="93" spans="1:12" customHeight="1" ht="40">
      <c r="A93" s="13" t="str">
        <f>IF($J93=0,"",IFERROR(_xlfn.IMAGE(INDEX('Прайс и заказ'!$O:$O,$J93)),""))</f>
      </c>
      <c r="B93" s="61" t="str">
        <f>IF($J93=0,"",IF(INDEX('Прайс и заказ'!B:B,$J93)="","",INDEX('Прайс и заказ'!B:B,$J93)))</f>
      </c>
      <c r="C93" s="64" t="str">
        <f>IF($J93=0,"",IF(INDEX('Прайс и заказ'!C:C,$J93)="","",INDEX('Прайс и заказ'!C:C,$J93)))</f>
      </c>
      <c r="D93" s="64" t="str">
        <f>IF($J93=0,"",IF(INDEX('Прайс и заказ'!D:D,$J93)="","",INDEX('Прайс и заказ'!D:D,$J93)))</f>
      </c>
      <c r="E93" s="61" t="str">
        <f>IF($J93=0,"",IF(INDEX('Прайс и заказ'!F:F,$J93)="","",INDEX('Прайс и заказ'!F:F,$J93)))</f>
      </c>
      <c r="F93" s="62" t="str">
        <f>IF($J93=0,"",IF(INDEX('Прайс и заказ'!I:I,$J93)="","",INDEX('Прайс и заказ'!I:I,$J93)))</f>
      </c>
      <c r="G93" s="63" t="str">
        <f>IF($J93=0,"",IF(INDEX('Прайс и заказ'!K:K,$J93)="","",INDEX('Прайс и заказ'!K:K,$J93)))</f>
      </c>
      <c r="H93" s="62" t="str">
        <f>IF($J93=0,"",IF(INDEX('Прайс и заказ'!L:L,$J93)="","",INDEX('Прайс и заказ'!L:L,$J93)))</f>
      </c>
      <c r="I93" s="13" t="str">
        <f>IF($J93=0,"",IF(INDEX('Прайс и заказ'!M:M,$J93)="","",INDEX('Прайс и заказ'!M:M,$J93)))</f>
      </c>
      <c r="J93" t="str">
        <f>IFERROR(MATCH(85,'Прайс и заказ'!$N$7:$N$100,0)+6,0)</f>
      </c>
      <c r="L93" t="str">
        <f>IF($J93=0,"",IF(INDEX('Прайс и заказ'!Q:Q,$J93)="","",INDEX('Прайс и заказ'!Q:Q,$J93)))</f>
      </c>
    </row>
    <row r="94" spans="1:12" customHeight="1" ht="40">
      <c r="A94" s="13" t="str">
        <f>IF($J94=0,"",IFERROR(_xlfn.IMAGE(INDEX('Прайс и заказ'!$O:$O,$J94)),""))</f>
      </c>
      <c r="B94" s="61" t="str">
        <f>IF($J94=0,"",IF(INDEX('Прайс и заказ'!B:B,$J94)="","",INDEX('Прайс и заказ'!B:B,$J94)))</f>
      </c>
      <c r="C94" s="64" t="str">
        <f>IF($J94=0,"",IF(INDEX('Прайс и заказ'!C:C,$J94)="","",INDEX('Прайс и заказ'!C:C,$J94)))</f>
      </c>
      <c r="D94" s="64" t="str">
        <f>IF($J94=0,"",IF(INDEX('Прайс и заказ'!D:D,$J94)="","",INDEX('Прайс и заказ'!D:D,$J94)))</f>
      </c>
      <c r="E94" s="61" t="str">
        <f>IF($J94=0,"",IF(INDEX('Прайс и заказ'!F:F,$J94)="","",INDEX('Прайс и заказ'!F:F,$J94)))</f>
      </c>
      <c r="F94" s="62" t="str">
        <f>IF($J94=0,"",IF(INDEX('Прайс и заказ'!I:I,$J94)="","",INDEX('Прайс и заказ'!I:I,$J94)))</f>
      </c>
      <c r="G94" s="63" t="str">
        <f>IF($J94=0,"",IF(INDEX('Прайс и заказ'!K:K,$J94)="","",INDEX('Прайс и заказ'!K:K,$J94)))</f>
      </c>
      <c r="H94" s="62" t="str">
        <f>IF($J94=0,"",IF(INDEX('Прайс и заказ'!L:L,$J94)="","",INDEX('Прайс и заказ'!L:L,$J94)))</f>
      </c>
      <c r="I94" s="13" t="str">
        <f>IF($J94=0,"",IF(INDEX('Прайс и заказ'!M:M,$J94)="","",INDEX('Прайс и заказ'!M:M,$J94)))</f>
      </c>
      <c r="J94" t="str">
        <f>IFERROR(MATCH(86,'Прайс и заказ'!$N$7:$N$100,0)+6,0)</f>
      </c>
      <c r="L94" t="str">
        <f>IF($J94=0,"",IF(INDEX('Прайс и заказ'!Q:Q,$J94)="","",INDEX('Прайс и заказ'!Q:Q,$J94)))</f>
      </c>
    </row>
    <row r="95" spans="1:12" customHeight="1" ht="40">
      <c r="A95" s="13" t="str">
        <f>IF($J95=0,"",IFERROR(_xlfn.IMAGE(INDEX('Прайс и заказ'!$O:$O,$J95)),""))</f>
      </c>
      <c r="B95" s="61" t="str">
        <f>IF($J95=0,"",IF(INDEX('Прайс и заказ'!B:B,$J95)="","",INDEX('Прайс и заказ'!B:B,$J95)))</f>
      </c>
      <c r="C95" s="64" t="str">
        <f>IF($J95=0,"",IF(INDEX('Прайс и заказ'!C:C,$J95)="","",INDEX('Прайс и заказ'!C:C,$J95)))</f>
      </c>
      <c r="D95" s="64" t="str">
        <f>IF($J95=0,"",IF(INDEX('Прайс и заказ'!D:D,$J95)="","",INDEX('Прайс и заказ'!D:D,$J95)))</f>
      </c>
      <c r="E95" s="61" t="str">
        <f>IF($J95=0,"",IF(INDEX('Прайс и заказ'!F:F,$J95)="","",INDEX('Прайс и заказ'!F:F,$J95)))</f>
      </c>
      <c r="F95" s="62" t="str">
        <f>IF($J95=0,"",IF(INDEX('Прайс и заказ'!I:I,$J95)="","",INDEX('Прайс и заказ'!I:I,$J95)))</f>
      </c>
      <c r="G95" s="63" t="str">
        <f>IF($J95=0,"",IF(INDEX('Прайс и заказ'!K:K,$J95)="","",INDEX('Прайс и заказ'!K:K,$J95)))</f>
      </c>
      <c r="H95" s="62" t="str">
        <f>IF($J95=0,"",IF(INDEX('Прайс и заказ'!L:L,$J95)="","",INDEX('Прайс и заказ'!L:L,$J95)))</f>
      </c>
      <c r="I95" s="13" t="str">
        <f>IF($J95=0,"",IF(INDEX('Прайс и заказ'!M:M,$J95)="","",INDEX('Прайс и заказ'!M:M,$J95)))</f>
      </c>
      <c r="J95" t="str">
        <f>IFERROR(MATCH(87,'Прайс и заказ'!$N$7:$N$100,0)+6,0)</f>
      </c>
      <c r="L95" t="str">
        <f>IF($J95=0,"",IF(INDEX('Прайс и заказ'!Q:Q,$J95)="","",INDEX('Прайс и заказ'!Q:Q,$J95)))</f>
      </c>
    </row>
    <row r="96" spans="1:12" customHeight="1" ht="40">
      <c r="A96" s="13" t="str">
        <f>IF($J96=0,"",IFERROR(_xlfn.IMAGE(INDEX('Прайс и заказ'!$O:$O,$J96)),""))</f>
      </c>
      <c r="B96" s="61" t="str">
        <f>IF($J96=0,"",IF(INDEX('Прайс и заказ'!B:B,$J96)="","",INDEX('Прайс и заказ'!B:B,$J96)))</f>
      </c>
      <c r="C96" s="64" t="str">
        <f>IF($J96=0,"",IF(INDEX('Прайс и заказ'!C:C,$J96)="","",INDEX('Прайс и заказ'!C:C,$J96)))</f>
      </c>
      <c r="D96" s="64" t="str">
        <f>IF($J96=0,"",IF(INDEX('Прайс и заказ'!D:D,$J96)="","",INDEX('Прайс и заказ'!D:D,$J96)))</f>
      </c>
      <c r="E96" s="61" t="str">
        <f>IF($J96=0,"",IF(INDEX('Прайс и заказ'!F:F,$J96)="","",INDEX('Прайс и заказ'!F:F,$J96)))</f>
      </c>
      <c r="F96" s="62" t="str">
        <f>IF($J96=0,"",IF(INDEX('Прайс и заказ'!I:I,$J96)="","",INDEX('Прайс и заказ'!I:I,$J96)))</f>
      </c>
      <c r="G96" s="63" t="str">
        <f>IF($J96=0,"",IF(INDEX('Прайс и заказ'!K:K,$J96)="","",INDEX('Прайс и заказ'!K:K,$J96)))</f>
      </c>
      <c r="H96" s="62" t="str">
        <f>IF($J96=0,"",IF(INDEX('Прайс и заказ'!L:L,$J96)="","",INDEX('Прайс и заказ'!L:L,$J96)))</f>
      </c>
      <c r="I96" s="13" t="str">
        <f>IF($J96=0,"",IF(INDEX('Прайс и заказ'!M:M,$J96)="","",INDEX('Прайс и заказ'!M:M,$J96)))</f>
      </c>
      <c r="J96" t="str">
        <f>IFERROR(MATCH(88,'Прайс и заказ'!$N$7:$N$100,0)+6,0)</f>
      </c>
      <c r="L96" t="str">
        <f>IF($J96=0,"",IF(INDEX('Прайс и заказ'!Q:Q,$J96)="","",INDEX('Прайс и заказ'!Q:Q,$J96)))</f>
      </c>
    </row>
    <row r="97" spans="1:12" customHeight="1" ht="40">
      <c r="A97" s="13" t="str">
        <f>IF($J97=0,"",IFERROR(_xlfn.IMAGE(INDEX('Прайс и заказ'!$O:$O,$J97)),""))</f>
      </c>
      <c r="B97" s="61" t="str">
        <f>IF($J97=0,"",IF(INDEX('Прайс и заказ'!B:B,$J97)="","",INDEX('Прайс и заказ'!B:B,$J97)))</f>
      </c>
      <c r="C97" s="64" t="str">
        <f>IF($J97=0,"",IF(INDEX('Прайс и заказ'!C:C,$J97)="","",INDEX('Прайс и заказ'!C:C,$J97)))</f>
      </c>
      <c r="D97" s="64" t="str">
        <f>IF($J97=0,"",IF(INDEX('Прайс и заказ'!D:D,$J97)="","",INDEX('Прайс и заказ'!D:D,$J97)))</f>
      </c>
      <c r="E97" s="61" t="str">
        <f>IF($J97=0,"",IF(INDEX('Прайс и заказ'!F:F,$J97)="","",INDEX('Прайс и заказ'!F:F,$J97)))</f>
      </c>
      <c r="F97" s="62" t="str">
        <f>IF($J97=0,"",IF(INDEX('Прайс и заказ'!I:I,$J97)="","",INDEX('Прайс и заказ'!I:I,$J97)))</f>
      </c>
      <c r="G97" s="63" t="str">
        <f>IF($J97=0,"",IF(INDEX('Прайс и заказ'!K:K,$J97)="","",INDEX('Прайс и заказ'!K:K,$J97)))</f>
      </c>
      <c r="H97" s="62" t="str">
        <f>IF($J97=0,"",IF(INDEX('Прайс и заказ'!L:L,$J97)="","",INDEX('Прайс и заказ'!L:L,$J97)))</f>
      </c>
      <c r="I97" s="13" t="str">
        <f>IF($J97=0,"",IF(INDEX('Прайс и заказ'!M:M,$J97)="","",INDEX('Прайс и заказ'!M:M,$J97)))</f>
      </c>
      <c r="J97" t="str">
        <f>IFERROR(MATCH(89,'Прайс и заказ'!$N$7:$N$100,0)+6,0)</f>
      </c>
      <c r="L97" t="str">
        <f>IF($J97=0,"",IF(INDEX('Прайс и заказ'!Q:Q,$J97)="","",INDEX('Прайс и заказ'!Q:Q,$J97)))</f>
      </c>
    </row>
    <row r="98" spans="1:12" customHeight="1" ht="40">
      <c r="A98" s="13" t="str">
        <f>IF($J98=0,"",IFERROR(_xlfn.IMAGE(INDEX('Прайс и заказ'!$O:$O,$J98)),""))</f>
      </c>
      <c r="B98" s="61" t="str">
        <f>IF($J98=0,"",IF(INDEX('Прайс и заказ'!B:B,$J98)="","",INDEX('Прайс и заказ'!B:B,$J98)))</f>
      </c>
      <c r="C98" s="64" t="str">
        <f>IF($J98=0,"",IF(INDEX('Прайс и заказ'!C:C,$J98)="","",INDEX('Прайс и заказ'!C:C,$J98)))</f>
      </c>
      <c r="D98" s="64" t="str">
        <f>IF($J98=0,"",IF(INDEX('Прайс и заказ'!D:D,$J98)="","",INDEX('Прайс и заказ'!D:D,$J98)))</f>
      </c>
      <c r="E98" s="61" t="str">
        <f>IF($J98=0,"",IF(INDEX('Прайс и заказ'!F:F,$J98)="","",INDEX('Прайс и заказ'!F:F,$J98)))</f>
      </c>
      <c r="F98" s="62" t="str">
        <f>IF($J98=0,"",IF(INDEX('Прайс и заказ'!I:I,$J98)="","",INDEX('Прайс и заказ'!I:I,$J98)))</f>
      </c>
      <c r="G98" s="63" t="str">
        <f>IF($J98=0,"",IF(INDEX('Прайс и заказ'!K:K,$J98)="","",INDEX('Прайс и заказ'!K:K,$J98)))</f>
      </c>
      <c r="H98" s="62" t="str">
        <f>IF($J98=0,"",IF(INDEX('Прайс и заказ'!L:L,$J98)="","",INDEX('Прайс и заказ'!L:L,$J98)))</f>
      </c>
      <c r="I98" s="13" t="str">
        <f>IF($J98=0,"",IF(INDEX('Прайс и заказ'!M:M,$J98)="","",INDEX('Прайс и заказ'!M:M,$J98)))</f>
      </c>
      <c r="J98" t="str">
        <f>IFERROR(MATCH(90,'Прайс и заказ'!$N$7:$N$100,0)+6,0)</f>
      </c>
      <c r="L98" t="str">
        <f>IF($J98=0,"",IF(INDEX('Прайс и заказ'!Q:Q,$J98)="","",INDEX('Прайс и заказ'!Q:Q,$J98)))</f>
      </c>
    </row>
    <row r="99" spans="1:12" customHeight="1" ht="40">
      <c r="A99" s="13" t="str">
        <f>IF($J99=0,"",IFERROR(_xlfn.IMAGE(INDEX('Прайс и заказ'!$O:$O,$J99)),""))</f>
      </c>
      <c r="B99" s="61" t="str">
        <f>IF($J99=0,"",IF(INDEX('Прайс и заказ'!B:B,$J99)="","",INDEX('Прайс и заказ'!B:B,$J99)))</f>
      </c>
      <c r="C99" s="64" t="str">
        <f>IF($J99=0,"",IF(INDEX('Прайс и заказ'!C:C,$J99)="","",INDEX('Прайс и заказ'!C:C,$J99)))</f>
      </c>
      <c r="D99" s="64" t="str">
        <f>IF($J99=0,"",IF(INDEX('Прайс и заказ'!D:D,$J99)="","",INDEX('Прайс и заказ'!D:D,$J99)))</f>
      </c>
      <c r="E99" s="61" t="str">
        <f>IF($J99=0,"",IF(INDEX('Прайс и заказ'!F:F,$J99)="","",INDEX('Прайс и заказ'!F:F,$J99)))</f>
      </c>
      <c r="F99" s="62" t="str">
        <f>IF($J99=0,"",IF(INDEX('Прайс и заказ'!I:I,$J99)="","",INDEX('Прайс и заказ'!I:I,$J99)))</f>
      </c>
      <c r="G99" s="63" t="str">
        <f>IF($J99=0,"",IF(INDEX('Прайс и заказ'!K:K,$J99)="","",INDEX('Прайс и заказ'!K:K,$J99)))</f>
      </c>
      <c r="H99" s="62" t="str">
        <f>IF($J99=0,"",IF(INDEX('Прайс и заказ'!L:L,$J99)="","",INDEX('Прайс и заказ'!L:L,$J99)))</f>
      </c>
      <c r="I99" s="13" t="str">
        <f>IF($J99=0,"",IF(INDEX('Прайс и заказ'!M:M,$J99)="","",INDEX('Прайс и заказ'!M:M,$J99)))</f>
      </c>
      <c r="J99" t="str">
        <f>IFERROR(MATCH(91,'Прайс и заказ'!$N$7:$N$100,0)+6,0)</f>
      </c>
      <c r="L99" t="str">
        <f>IF($J99=0,"",IF(INDEX('Прайс и заказ'!Q:Q,$J99)="","",INDEX('Прайс и заказ'!Q:Q,$J99)))</f>
      </c>
    </row>
    <row r="100" spans="1:12" customHeight="1" ht="40">
      <c r="A100" s="13" t="str">
        <f>IF($J100=0,"",IFERROR(_xlfn.IMAGE(INDEX('Прайс и заказ'!$O:$O,$J100)),""))</f>
      </c>
      <c r="B100" s="61" t="str">
        <f>IF($J100=0,"",IF(INDEX('Прайс и заказ'!B:B,$J100)="","",INDEX('Прайс и заказ'!B:B,$J100)))</f>
      </c>
      <c r="C100" s="64" t="str">
        <f>IF($J100=0,"",IF(INDEX('Прайс и заказ'!C:C,$J100)="","",INDEX('Прайс и заказ'!C:C,$J100)))</f>
      </c>
      <c r="D100" s="64" t="str">
        <f>IF($J100=0,"",IF(INDEX('Прайс и заказ'!D:D,$J100)="","",INDEX('Прайс и заказ'!D:D,$J100)))</f>
      </c>
      <c r="E100" s="61" t="str">
        <f>IF($J100=0,"",IF(INDEX('Прайс и заказ'!F:F,$J100)="","",INDEX('Прайс и заказ'!F:F,$J100)))</f>
      </c>
      <c r="F100" s="62" t="str">
        <f>IF($J100=0,"",IF(INDEX('Прайс и заказ'!I:I,$J100)="","",INDEX('Прайс и заказ'!I:I,$J100)))</f>
      </c>
      <c r="G100" s="63" t="str">
        <f>IF($J100=0,"",IF(INDEX('Прайс и заказ'!K:K,$J100)="","",INDEX('Прайс и заказ'!K:K,$J100)))</f>
      </c>
      <c r="H100" s="62" t="str">
        <f>IF($J100=0,"",IF(INDEX('Прайс и заказ'!L:L,$J100)="","",INDEX('Прайс и заказ'!L:L,$J100)))</f>
      </c>
      <c r="I100" s="13" t="str">
        <f>IF($J100=0,"",IF(INDEX('Прайс и заказ'!M:M,$J100)="","",INDEX('Прайс и заказ'!M:M,$J100)))</f>
      </c>
      <c r="J100" t="str">
        <f>IFERROR(MATCH(92,'Прайс и заказ'!$N$7:$N$100,0)+6,0)</f>
      </c>
      <c r="L100" t="str">
        <f>IF($J100=0,"",IF(INDEX('Прайс и заказ'!Q:Q,$J100)="","",INDEX('Прайс и заказ'!Q:Q,$J100)))</f>
      </c>
    </row>
    <row r="101" spans="1:12" customHeight="1" ht="40">
      <c r="A101" s="13" t="str">
        <f>IF($J101=0,"",IFERROR(_xlfn.IMAGE(INDEX('Прайс и заказ'!$O:$O,$J101)),""))</f>
      </c>
      <c r="B101" s="61" t="str">
        <f>IF($J101=0,"",IF(INDEX('Прайс и заказ'!B:B,$J101)="","",INDEX('Прайс и заказ'!B:B,$J101)))</f>
      </c>
      <c r="C101" s="64" t="str">
        <f>IF($J101=0,"",IF(INDEX('Прайс и заказ'!C:C,$J101)="","",INDEX('Прайс и заказ'!C:C,$J101)))</f>
      </c>
      <c r="D101" s="64" t="str">
        <f>IF($J101=0,"",IF(INDEX('Прайс и заказ'!D:D,$J101)="","",INDEX('Прайс и заказ'!D:D,$J101)))</f>
      </c>
      <c r="E101" s="61" t="str">
        <f>IF($J101=0,"",IF(INDEX('Прайс и заказ'!F:F,$J101)="","",INDEX('Прайс и заказ'!F:F,$J101)))</f>
      </c>
      <c r="F101" s="62" t="str">
        <f>IF($J101=0,"",IF(INDEX('Прайс и заказ'!I:I,$J101)="","",INDEX('Прайс и заказ'!I:I,$J101)))</f>
      </c>
      <c r="G101" s="63" t="str">
        <f>IF($J101=0,"",IF(INDEX('Прайс и заказ'!K:K,$J101)="","",INDEX('Прайс и заказ'!K:K,$J101)))</f>
      </c>
      <c r="H101" s="62" t="str">
        <f>IF($J101=0,"",IF(INDEX('Прайс и заказ'!L:L,$J101)="","",INDEX('Прайс и заказ'!L:L,$J101)))</f>
      </c>
      <c r="I101" s="13" t="str">
        <f>IF($J101=0,"",IF(INDEX('Прайс и заказ'!M:M,$J101)="","",INDEX('Прайс и заказ'!M:M,$J101)))</f>
      </c>
      <c r="J101" t="str">
        <f>IFERROR(MATCH(93,'Прайс и заказ'!$N$7:$N$100,0)+6,0)</f>
      </c>
      <c r="L101" t="str">
        <f>IF($J101=0,"",IF(INDEX('Прайс и заказ'!Q:Q,$J101)="","",INDEX('Прайс и заказ'!Q:Q,$J101)))</f>
      </c>
    </row>
  </sheetData>
  <sheetProtection sheet="1"/>
  <mergeCells>
    <mergeCell ref="A1:I1"/>
    <mergeCell ref="A2:I2"/>
    <mergeCell ref="D4:I4"/>
    <mergeCell ref="A6:B6"/>
    <mergeCell ref="D6:E6"/>
    <mergeCell ref="G6:H6"/>
  </mergeCells>
  <conditionalFormatting sqref="A9:I101">
    <cfRule type="expression" dxfId="3" priority="1">
      <formula>$B9&lt;&gt;""</formula>
    </cfRule>
  </conditionalFormatting>
  <printOptions gridLines="false" gridLinesSet="true"/>
  <pageMargins left="0.7" right="0.7" top="0.75" bottom="0.75" header="0.3" footer="0.3"/>
  <pageSetup paperSize="1" orientation="landscape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353</v>
      </c>
    </row>
    <row r="2" spans="1:6">
      <c r="A2" t="s">
        <v>354</v>
      </c>
    </row>
    <row r="3" spans="1:6">
      <c r="A3" t="s">
        <v>355</v>
      </c>
    </row>
    <row r="4" spans="1:6">
      <c r="A4" t="s">
        <v>356</v>
      </c>
    </row>
    <row r="5" spans="1:6">
      <c r="A5" t="s">
        <v>357</v>
      </c>
      <c r="B5" t="s">
        <v>358</v>
      </c>
      <c r="C5" t="s">
        <v>359</v>
      </c>
      <c r="D5" t="s">
        <v>360</v>
      </c>
    </row>
    <row r="6" spans="1:6">
      <c r="A6" t="s">
        <v>361</v>
      </c>
      <c r="B6" t="s">
        <v>362</v>
      </c>
      <c r="C6" t="s">
        <v>363</v>
      </c>
      <c r="D6" t="s">
        <v>364</v>
      </c>
      <c r="E6" t="s">
        <v>365</v>
      </c>
      <c r="F6" t="s">
        <v>366</v>
      </c>
    </row>
    <row r="7" spans="1:6">
      <c r="A7" t="s">
        <v>367</v>
      </c>
      <c r="B7">
        <v>6</v>
      </c>
      <c r="C7" t="s">
        <v>368</v>
      </c>
      <c r="D7" t="s">
        <v>369</v>
      </c>
      <c r="E7" t="s">
        <v>370</v>
      </c>
      <c r="F7" t="s">
        <v>371</v>
      </c>
    </row>
    <row r="8" spans="1:6">
      <c r="A8" t="s">
        <v>372</v>
      </c>
      <c r="B8">
        <v>8</v>
      </c>
      <c r="C8" t="s">
        <v>373</v>
      </c>
      <c r="D8" t="s">
        <v>374</v>
      </c>
      <c r="E8" t="s">
        <v>375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Прайс и заказ</vt:lpstr>
      <vt:lpstr>Ваш заказ</vt:lpstr>
      <vt:lpstr>_1С</vt:lpstr>
    </vt:vector>
  </TitlesOfParts>
  <Company>LavrPack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LavrPack</dc:creator>
  <cp:lastModifiedBy>Unknown Creator</cp:lastModifiedBy>
  <dcterms:created xsi:type="dcterms:W3CDTF">2026-10-01T20:29:52+04:00</dcterms:created>
  <dcterms:modified xsi:type="dcterms:W3CDTF">2026-10-01T20:29:52+04:00</dcterms:modified>
  <dc:title>Прайс-лист LavrPack — Плёнка — Листы · Матовая</dc:title>
  <dc:description>Сформировано на www.lavrpack.ru 01.10.2026 20:29</dc:description>
  <dc:subject/>
  <cp:keywords/>
  <cp:category/>
</cp:coreProperties>
</file>