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<sst xmlns="http://schemas.openxmlformats.org/spreadsheetml/2006/main" uniqueCount="819">
  <si>
    <t xml:space="preserve">   ·   Прайс-лист «Сумочки и пакеты»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</si>
  <si>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</si>
  <si>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</si>
  <si>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</si>
  <si>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</si>
  <si>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</si>
  <si>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</si>
  <si>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19:39</t>
  </si>
  <si>
    <t>Категория</t>
  </si>
  <si>
    <t>Сумочки и пакеты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</si>
  <si>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</si>
  <si>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</si>
  <si>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</si>
  <si>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</si>
  <si>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</si>
  <si>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</si>
  <si>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</si>
  <si>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</si>
  <si>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</si>
  <si>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</si>
  <si>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</si>
  <si>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</si>
  <si>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</si>
  <si>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</si>
  <si>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</si>
  <si>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Сумочки — 132 поз.</t>
  </si>
  <si>
    <t>75cedf6b-bb9d-11ef-ab3b-22344d083d2c#cbaa385c-bb9d-11ef-ab3b-22344d083d2c</t>
  </si>
  <si>
    <t>110793</t>
  </si>
  <si>
    <t>Прозрачная сумка</t>
  </si>
  <si>
    <t>30см×12см×65см</t>
  </si>
  <si>
    <t>https://www.lavrpack.ru/local/templates/phoenix_v1/images_cache/thumbs/6ca132cbdc6abf2bd5a64a113c018c49.webp?v=1790830714</t>
  </si>
  <si>
    <t>aa1ac989-bb9e-11ef-ab3b-22344d083d2c#7d303a94-4d04-11f0-ab41-22344d083d2c</t>
  </si>
  <si>
    <t>110794</t>
  </si>
  <si>
    <t>Прозрачная сумка "Кант" 24,5x15x35см , Тиффани</t>
  </si>
  <si>
    <t>https://www.lavrpack.ru/local/templates/phoenix_v1/images_cache/thumbs/7fc62155ce7428af63a3fa68f02ceba2.webp?v=1790830714</t>
  </si>
  <si>
    <t>984ca797-4d40-11f1-ab50-22344d083d2c#a2d1ae5b-4d40-11f1-ab50-22344d083d2c</t>
  </si>
  <si>
    <t>118281</t>
  </si>
  <si>
    <t>Прозрачная сумка "Кант" с пластиковыми ручками 29*15*42</t>
  </si>
  <si>
    <t>Черный</t>
  </si>
  <si>
    <t>5см</t>
  </si>
  <si>
    <t>75f8af27-4d05-11f0-ab41-22344d083d2c#83d2388e-4d05-11f0-ab41-22344d083d2c</t>
  </si>
  <si>
    <t>113229</t>
  </si>
  <si>
    <t>Прозрачная сумка "Кант" с пластиковыми ручками 33x33x33см , Кремовый</t>
  </si>
  <si>
    <t>https://www.lavrpack.ru/local/templates/phoenix_v1/images_cache/thumbs/9902067a25232ea568e41a4d94c2611b.webp?v=1790830714</t>
  </si>
  <si>
    <t>75f8af27-4d05-11f0-ab41-22344d083d2c#2beca743-4d3e-11f1-ab50-22344d083d2c</t>
  </si>
  <si>
    <t>Прозрачная сумка "Кант" с пластиковыми ручками 33x33x33см , Тиффани</t>
  </si>
  <si>
    <t>https://www.lavrpack.ru/local/templates/phoenix_v1/images_cache/thumbs/0b8837100dde51d14b45038214658b76.webp?v=1790830714</t>
  </si>
  <si>
    <t>3dc1b995-bb9b-11ef-ab3b-22344d083d2c#4b05133a-bb9b-11ef-ab3b-22344d083d2c</t>
  </si>
  <si>
    <t>110792</t>
  </si>
  <si>
    <t>Прозрачная сумка "Цветы"</t>
  </si>
  <si>
    <t>Розовый</t>
  </si>
  <si>
    <t>30см×11см×70см,</t>
  </si>
  <si>
    <t>https://www.lavrpack.ru/local/templates/phoenix_v1/images_cache/thumbs/48ad1a82c51fc54415cf04a85f7b437d.webp?v=1790830714</t>
  </si>
  <si>
    <t>cb14a3ca-4d2f-11f1-ab50-22344d083d2c#d9d84536-4d2f-11f1-ab50-22344d083d2c</t>
  </si>
  <si>
    <t>118279</t>
  </si>
  <si>
    <t>Прозрачная сумка с белыми ручками, 16*15*17см</t>
  </si>
  <si>
    <t>cb14a3ca-4d2f-11f1-ab50-22344d083d2c#e7bfe45e-4d2f-11f1-ab50-22344d083d2c</t>
  </si>
  <si>
    <t>Прозрачная сумка с белыми ручками, 25*22*25см</t>
  </si>
  <si>
    <t>cb14a3ca-4d2f-11f1-ab50-22344d083d2c#fb154f92-4d2f-11f1-ab50-22344d083d2c</t>
  </si>
  <si>
    <t>Прозрачная сумка с белыми ручками, 33*33*33см</t>
  </si>
  <si>
    <t>e2a75d83-bc63-11ef-ab3b-22344d083d2c#e9e45628-bc63-11ef-ab3b-22344d083d2c</t>
  </si>
  <si>
    <t>110809</t>
  </si>
  <si>
    <t>Прозрачная сумка-трапеция с пластиковыми ручками 29x15x42.5см, Тиффани</t>
  </si>
  <si>
    <t>https://www.lavrpack.ru/local/templates/phoenix_v1/images_cache/thumbs/93a2019224fa56ecf8479bf680cbfe45.webp?v=1790830714</t>
  </si>
  <si>
    <t>1066c4ab-4d31-11f1-ab50-22344d083d2c#246b8da2-4d31-11f1-ab50-22344d083d2c</t>
  </si>
  <si>
    <t>118280</t>
  </si>
  <si>
    <t>Прозрачная сумка-трапеция с пластиковыми ручками, 24*12*26см</t>
  </si>
  <si>
    <t>1066c4ab-4d31-11f1-ab50-22344d083d2c#371cfc61-4d31-11f1-ab50-22344d083d2c</t>
  </si>
  <si>
    <t>Прозрачная сумка-трапеция с пластиковыми ручками, 26*13*35см</t>
  </si>
  <si>
    <t>2d6ff3d2-b6b9-11ee-baea-00e01a6800eb#b89c17ed-b6c0-11ee-baea-00e01a6800eb</t>
  </si>
  <si>
    <t>105696</t>
  </si>
  <si>
    <t>Сумка 28x28x30см, Пионы</t>
  </si>
  <si>
    <t>https://www.lavrpack.ru/local/templates/phoenix_v1/images_cache/thumbs/977e9ca2eb156a477df1a100dbc74718.webp?v=1790787237</t>
  </si>
  <si>
    <t>2d6ff3d2-b6b9-11ee-baea-00e01a6800eb#aeb03ba8-b6c0-11ee-baea-00e01a6800eb</t>
  </si>
  <si>
    <t>Сумка 28x28x30см, Тюльпаны</t>
  </si>
  <si>
    <t>https://www.lavrpack.ru/local/templates/phoenix_v1/images_cache/thumbs/1f77b6a2d24232f80d7a10e90ff5a8c6.webp?v=1790830714</t>
  </si>
  <si>
    <t>2d6ff3d2-b6b9-11ee-baea-00e01a6800eb#a33dfdb7-b6c0-11ee-baea-00e01a6800eb</t>
  </si>
  <si>
    <t>Сумка 28x28x30см, City</t>
  </si>
  <si>
    <t>https://www.lavrpack.ru/local/templates/phoenix_v1/images_cache/thumbs/d1fa81889ee9c878261d30338abe2736.webp?v=1790830714</t>
  </si>
  <si>
    <t>2d6ff3d2-b6b9-11ee-baea-00e01a6800eb#9880a869-b6c0-11ee-baea-00e01a6800eb</t>
  </si>
  <si>
    <t>Сумка 28x28x30см, Street</t>
  </si>
  <si>
    <t>https://www.lavrpack.ru/local/templates/phoenix_v1/images_cache/thumbs/5577cd0d0a7e819cbf65bc7236bb9974.webp?v=1790830714</t>
  </si>
  <si>
    <t>ddd16ec3-6635-11f0-ab47-22344d083d2c#0d0dd564-66bc-11f0-ab47-22344d083d2c</t>
  </si>
  <si>
    <t>113756</t>
  </si>
  <si>
    <t>Сумка акриловая , 22*8*15см</t>
  </si>
  <si>
    <t>https://www.lavrpack.ru/local/templates/phoenix_v1/images_cache/thumbs/8cd29fbf9d38dbb4c5ac018292765716.webp?v=1790830714</t>
  </si>
  <si>
    <t>ef8c8e5e-6424-11ee-bc2f-00e01a6800eb</t>
  </si>
  <si>
    <t>104309</t>
  </si>
  <si>
    <t>Сумка новогодняя, белая со снеговиком., w7946</t>
  </si>
  <si>
    <t>https://www.lavrpack.ru/local/templates/phoenix_v1/images_cache/thumbs/0905f251f9b89c476259a80f3b73d726.webp?v=1790852980</t>
  </si>
  <si>
    <t>240db6c6-6422-11ee-bc2f-00e01a6800eb</t>
  </si>
  <si>
    <t>104307</t>
  </si>
  <si>
    <t>Сумка новогодняя, w7830</t>
  </si>
  <si>
    <t>https://www.lavrpack.ru/local/templates/phoenix_v1/images_cache/thumbs/b64fecbfbb550219509ac7b59528d4a2.webp?v=1790852980</t>
  </si>
  <si>
    <t>08346f05-0c51-11ef-9f05-00e01a6800eb#1f227069-0c51-11ef-9f05-00e01a6800eb</t>
  </si>
  <si>
    <t>107549</t>
  </si>
  <si>
    <t>Сумка подарочная 11.5*22.5*16.5см (PB1603221), Зеленый</t>
  </si>
  <si>
    <t>https://www.lavrpack.ru/local/templates/phoenix_v1/images_cache/thumbs/498086e9ec76b6831480cebff4096be1.webp?v=1790830714</t>
  </si>
  <si>
    <t>08346f05-0c51-11ef-9f05-00e01a6800eb#18161d6b-0c51-11ef-9f05-00e01a6800eb</t>
  </si>
  <si>
    <t>Сумка подарочная 11.5*22.5*16.5см (PB1603221), Красный</t>
  </si>
  <si>
    <t>https://www.lavrpack.ru/local/templates/phoenix_v1/images_cache/thumbs/2ca3c83df547150cfd56e86dc72f7e20.webp?v=1790830714</t>
  </si>
  <si>
    <t>6ee28175-0c55-11ef-9f05-00e01a6800eb#7e05c1e7-0c55-11ef-9f05-00e01a6800eb</t>
  </si>
  <si>
    <t>107550</t>
  </si>
  <si>
    <t>Сумка подарочная 11.5*22.5*16.5см (PB1603222), Зеленый</t>
  </si>
  <si>
    <t>https://www.lavrpack.ru/local/templates/phoenix_v1/images_cache/thumbs/6a293bebf0bcff8b8f74aa0c7be49a34.webp?v=1790830714</t>
  </si>
  <si>
    <t>6ee28175-0c55-11ef-9f05-00e01a6800eb#76fbd026-0c55-11ef-9f05-00e01a6800eb</t>
  </si>
  <si>
    <t>Сумка подарочная 11.5*22.5*16.5см (PB1603222), Красный</t>
  </si>
  <si>
    <t>https://www.lavrpack.ru/local/templates/phoenix_v1/images_cache/thumbs/a494e030fa9a9a9a152bbc7cb11437ec.webp?v=1790830714</t>
  </si>
  <si>
    <t>6ee28175-0c55-11ef-9f05-00e01a6800eb#76fbd016-0c55-11ef-9f05-00e01a6800eb</t>
  </si>
  <si>
    <t>Сумка подарочная 11.5*22.5*16.5см (PB1603222), Пудра</t>
  </si>
  <si>
    <t>https://www.lavrpack.ru/local/templates/phoenix_v1/images_cache/thumbs/cdf1d0d4c82a1fa4a35a08eaf12986b5.webp?v=1790830714</t>
  </si>
  <si>
    <t>3802ee61-b6ba-11ee-baea-00e01a6800eb#41ba6c6f-b6ba-11ee-baea-00e01a6800eb</t>
  </si>
  <si>
    <t>105697</t>
  </si>
  <si>
    <t>Сумка с атласными ручками "Букет цветов", 28cм*28cм*30см, Букет цветов 1</t>
  </si>
  <si>
    <t>https://www.lavrpack.ru/local/templates/phoenix_v1/images_cache/thumbs/95277d6bec87efb6296b2ddecb66a46f.webp?v=1790830714</t>
  </si>
  <si>
    <t>3802ee61-b6ba-11ee-baea-00e01a6800eb#4a081944-b6ba-11ee-baea-00e01a6800eb</t>
  </si>
  <si>
    <t>Сумка с атласными ручками "Букет цветов", 28cм*28cм*30см, Букет цветов 2</t>
  </si>
  <si>
    <t>https://www.lavrpack.ru/local/templates/phoenix_v1/images_cache/thumbs/4d700cabaacca90d5751a5cdef6b2229.webp?v=1790830714</t>
  </si>
  <si>
    <t>3802ee61-b6ba-11ee-baea-00e01a6800eb#59184e70-b6ba-11ee-baea-00e01a6800eb</t>
  </si>
  <si>
    <t>Сумка с атласными ручками "Букет цветов", 28cм*28cм*30см, Букет цветов 3</t>
  </si>
  <si>
    <t>https://www.lavrpack.ru/local/templates/phoenix_v1/images_cache/thumbs/ce7cf65bec78e18b60e6d07300aef0a2.webp?v=1790830714</t>
  </si>
  <si>
    <t>320fe827-bb9a-11ef-ab3b-22344d083d2c#48b29187-bb9a-11ef-ab3b-22344d083d2c</t>
  </si>
  <si>
    <t>110791</t>
  </si>
  <si>
    <t>Сумка-переноска (10шт в упак.), 19x7x32см, сиреневый</t>
  </si>
  <si>
    <t>https://www.lavrpack.ru/local/templates/phoenix_v1/images_cache/thumbs/68f3a931c86dc2aec9ffeb091bc86659.webp?v=1790830714</t>
  </si>
  <si>
    <t>9959bd82-8a5c-11f1-ab51-22344d083d2c</t>
  </si>
  <si>
    <t>119635</t>
  </si>
  <si>
    <t>Сумка-переноска 160*340*300см (крафт)</t>
  </si>
  <si>
    <t>507909cc-8a5d-11f1-ab51-22344d083d2c</t>
  </si>
  <si>
    <t>119636</t>
  </si>
  <si>
    <t>Сумка-переноска 200*400*340см (крафт)</t>
  </si>
  <si>
    <t>00adac5c-a3c3-11ed-ba70-00e01a6800eb</t>
  </si>
  <si>
    <t>78504</t>
  </si>
  <si>
    <t>Сумка-трапеция (прозрач.) "Кант" 29*15*42</t>
  </si>
  <si>
    <t>розовый</t>
  </si>
  <si>
    <t>5см,</t>
  </si>
  <si>
    <t>упак</t>
  </si>
  <si>
    <t>https://www.lavrpack.ru/local/templates/phoenix_v1/images_cache/thumbs/057cdeb7030fd7f2c081535058fe3513.webp?v=1790852980</t>
  </si>
  <si>
    <t>ee46c6c2-8656-11f1-ab51-22344d083d2c</t>
  </si>
  <si>
    <t>119571</t>
  </si>
  <si>
    <t>Сумка-трапеция (прозрач.) "Кант" 34*19*47см, красный</t>
  </si>
  <si>
    <t>63b4d80b-a2d7-11ed-ba70-00e01a6800eb</t>
  </si>
  <si>
    <t>78470</t>
  </si>
  <si>
    <t>Сумка-трапеция (прозрач.) "Кант" 34*19*47см, кремовый</t>
  </si>
  <si>
    <t>3b04ae4c-a223-11ed-ba70-00e01a6800eb</t>
  </si>
  <si>
    <t>78427</t>
  </si>
  <si>
    <t>Сумка-трапеция (прозрач.) "Кант" 34*19*47см, розовый</t>
  </si>
  <si>
    <t>01a2f0f1-8509-11f1-ab51-22344d083d2c</t>
  </si>
  <si>
    <t>119564</t>
  </si>
  <si>
    <t>Сумка-трапеция (прозрач.) "Кант" 34*19*47см, тиффани</t>
  </si>
  <si>
    <t>b5750133-902b-11ee-a8ad-00e01a6800eb#c8f2454d-902b-11ee-a8ad-00e01a6800eb</t>
  </si>
  <si>
    <t>105203</t>
  </si>
  <si>
    <t>Сумочка "Роза" 22,5*13,5*15</t>
  </si>
  <si>
    <t>Белый</t>
  </si>
  <si>
    <t>2см,</t>
  </si>
  <si>
    <t>https://www.lavrpack.ru/local/templates/phoenix_v1/images_cache/thumbs/b930998483e113dd4ae9bfcc86c64edf.webp?v=1790830714</t>
  </si>
  <si>
    <t>b5750133-902b-11ee-a8ad-00e01a6800eb#bd1026af-902b-11ee-a8ad-00e01a6800eb</t>
  </si>
  <si>
    <t>https://www.lavrpack.ru/local/templates/phoenix_v1/images_cache/thumbs/a2753372379f84d1a6c6bc2d2ccbfe38.webp?v=1790830714</t>
  </si>
  <si>
    <t>a96835b9-9018-11ee-a8ad-00e01a6800eb#66609397-9019-11ee-a8ad-00e01a6800eb</t>
  </si>
  <si>
    <t>105199</t>
  </si>
  <si>
    <t>Сумочка "Flower", 20*8*32см, Зеленый</t>
  </si>
  <si>
    <t>https://www.lavrpack.ru/local/templates/phoenix_v1/images_cache/thumbs/457fc3dd7a5176b92f385f5b2b096d86.webp?v=1790830714</t>
  </si>
  <si>
    <t>99368ef3-0c3e-11ef-9f05-00e01a6800eb#ceadb75b-0c3e-11ef-9f05-00e01a6800eb</t>
  </si>
  <si>
    <t>107535</t>
  </si>
  <si>
    <t>Сумочка "Just for you", 18,5*13,5*21см, Фуксия</t>
  </si>
  <si>
    <t>https://www.lavrpack.ru/local/templates/phoenix_v1/images_cache/thumbs/2874858b017de7513ff25adcd42f6ae1.webp?v=1790830714</t>
  </si>
  <si>
    <t>e727d91c-0c40-11ef-9f05-00e01a6800eb#fdaf7f72-0c40-11ef-9f05-00e01a6800eb</t>
  </si>
  <si>
    <t>107536</t>
  </si>
  <si>
    <t>Сумочка "Just for you", 24*15*26см, Красный</t>
  </si>
  <si>
    <t>https://www.lavrpack.ru/local/templates/phoenix_v1/images_cache/thumbs/30733e03567d33e09da78c41b35bc316.webp?v=1790830714</t>
  </si>
  <si>
    <t>e727d91c-0c40-11ef-9f05-00e01a6800eb#ee9ce8b7-0c40-11ef-9f05-00e01a6800eb</t>
  </si>
  <si>
    <t>Сумочка "Just for you", 24*15*26см, Розовый</t>
  </si>
  <si>
    <t>https://www.lavrpack.ru/local/templates/phoenix_v1/images_cache/thumbs/426f797fc95faf8e7af2fb0cd7f87b09.webp?v=1790830714</t>
  </si>
  <si>
    <t>e727d91c-0c40-11ef-9f05-00e01a6800eb#1a1db599-8640-11ef-ab5a-1cfd08767543</t>
  </si>
  <si>
    <t>Сумочка "Just for you", 24*15*26см, Черный</t>
  </si>
  <si>
    <t>https://www.lavrpack.ru/local/templates/phoenix_v1/images_cache/thumbs/b563b7be54d3d2f0f9a2efcd517fbc5b.webp?v=1790830714</t>
  </si>
  <si>
    <t>ba4e6609-9c0a-11ef-ab3b-22344d083d2c#d88d1835-9c0a-11ef-ab3b-22344d083d2c</t>
  </si>
  <si>
    <t>110347</t>
  </si>
  <si>
    <t>Сумочка 8х12x12</t>
  </si>
  <si>
    <t>градиент, Персик</t>
  </si>
  <si>
    <t>https://www.lavrpack.ru/local/templates/phoenix_v1/images_cache/thumbs/2b79f45792eacec9e327ad0d14ce6e81.webp?v=1790830714</t>
  </si>
  <si>
    <t>ba4e6609-9c0a-11ef-ab3b-22344d083d2c#c66bbda3-9c0a-11ef-ab3b-22344d083d2c</t>
  </si>
  <si>
    <t>градиент, Красный</t>
  </si>
  <si>
    <t>https://www.lavrpack.ru/local/templates/phoenix_v1/images_cache/thumbs/f6218aa77d6dbf45100fec4c31d83c0c.webp?v=1790830714</t>
  </si>
  <si>
    <t>ba4e6609-9c0a-11ef-ab3b-22344d083d2c#cc861d2d-9c0a-11ef-ab3b-22344d083d2c</t>
  </si>
  <si>
    <t>градиент, Розовый</t>
  </si>
  <si>
    <t>https://www.lavrpack.ru/local/templates/phoenix_v1/images_cache/thumbs/76e2df764cb08cf3d9d61a72d8acad44.webp?v=1790830714</t>
  </si>
  <si>
    <t>ba4e6609-9c0a-11ef-ab3b-22344d083d2c#f69f074f-9c0a-11ef-ab3b-22344d083d2c</t>
  </si>
  <si>
    <t>градиент, Зеленый</t>
  </si>
  <si>
    <t>https://www.lavrpack.ru/local/templates/phoenix_v1/images_cache/thumbs/b75dfaf7fd686cb53e7234d7b9c3b754.webp?v=1790830714</t>
  </si>
  <si>
    <t>ba4e6609-9c0a-11ef-ab3b-22344d083d2c#fc9c8a8e-9c0a-11ef-ab3b-22344d083d2c</t>
  </si>
  <si>
    <t>градиент, Тиффани</t>
  </si>
  <si>
    <t>https://www.lavrpack.ru/local/templates/phoenix_v1/images_cache/thumbs/5258073742cd96ea10d3fa96c7ddd315.webp?v=1790830714</t>
  </si>
  <si>
    <t>ba4e6609-9c0a-11ef-ab3b-22344d083d2c#e48e139f-9c0a-11ef-ab3b-22344d083d2c</t>
  </si>
  <si>
    <t>градиент, Пудра</t>
  </si>
  <si>
    <t>https://www.lavrpack.ru/local/templates/phoenix_v1/images_cache/thumbs/fd58292d3c338a2641539260695c2999.webp?v=1790830714</t>
  </si>
  <si>
    <t>ba4e6609-9c0a-11ef-ab3b-22344d083d2c#f07fb676-9c0a-11ef-ab3b-22344d083d2c</t>
  </si>
  <si>
    <t>градиент, Крем</t>
  </si>
  <si>
    <t>https://www.lavrpack.ru/local/templates/phoenix_v1/images_cache/thumbs/3e7038051accf33db6d6ef6f6f33af39.webp?v=1790830714</t>
  </si>
  <si>
    <t>ba4e6609-9c0a-11ef-ab3b-22344d083d2c#02a89b2d-9c0b-11ef-ab3b-22344d083d2c</t>
  </si>
  <si>
    <t>градиент, Синий</t>
  </si>
  <si>
    <t>https://www.lavrpack.ru/local/templates/phoenix_v1/images_cache/thumbs/9dab6d7c1caa0dcfbf72527c9e17a17a.webp?v=1790830714</t>
  </si>
  <si>
    <t>ba4e6609-9c0a-11ef-ab3b-22344d083d2c#09b92f68-9c0b-11ef-ab3b-22344d083d2c</t>
  </si>
  <si>
    <t>градиент, Фиолетовый</t>
  </si>
  <si>
    <t>https://www.lavrpack.ru/local/templates/phoenix_v1/images_cache/thumbs/539146f0de3b2222af896bb0944df8d7.webp?v=1790830714</t>
  </si>
  <si>
    <t>ba4e6609-9c0a-11ef-ab3b-22344d083d2c#de84ba62-9c0a-11ef-ab3b-22344d083d2c</t>
  </si>
  <si>
    <t>градиент, Светло-сиреневый</t>
  </si>
  <si>
    <t>https://www.lavrpack.ru/local/templates/phoenix_v1/images_cache/thumbs/d00ad66b96282ef1584a79409b846e9f.webp?v=1790830714</t>
  </si>
  <si>
    <t>ba4e6609-9c0a-11ef-ab3b-22344d083d2c#eabfd3c1-9c0a-11ef-ab3b-22344d083d2c</t>
  </si>
  <si>
    <t>градиент, Желтый</t>
  </si>
  <si>
    <t>https://www.lavrpack.ru/local/templates/phoenix_v1/images_cache/thumbs/feaf7b4e90e4af799ea8b82c3bed9093.webp?v=1790830714</t>
  </si>
  <si>
    <t>ba4e6609-9c0a-11ef-ab3b-22344d083d2c#d2860edb-9c0a-11ef-ab3b-22344d083d2c</t>
  </si>
  <si>
    <t>градиент, Пурпурный</t>
  </si>
  <si>
    <t>https://www.lavrpack.ru/local/templates/phoenix_v1/images_cache/thumbs/e67952c4fb6cdf34664488c9448cbddd.webp?v=1790830714</t>
  </si>
  <si>
    <t>ba4e6609-9c0a-11ef-ab3b-22344d083d2c#cc861ac6-9c0a-11ef-ab3b-22344d083d2c</t>
  </si>
  <si>
    <t>градиент, Фуксия</t>
  </si>
  <si>
    <t>https://www.lavrpack.ru/local/templates/phoenix_v1/images_cache/thumbs/8357af50ceffa9409162d6bbfac0a6c6.webp?v=1790830714</t>
  </si>
  <si>
    <t>ba4e6609-9c0a-11ef-ab3b-22344d083d2c#0fb490f7-9c0b-11ef-ab3b-22344d083d2c</t>
  </si>
  <si>
    <t>градиент, Фиалка</t>
  </si>
  <si>
    <t>https://www.lavrpack.ru/local/templates/phoenix_v1/images_cache/thumbs/e89747f00e09550729b1f9691d667884.webp?v=1790830714</t>
  </si>
  <si>
    <t>5f23cbc9-d90e-11ed-8488-00e01a6800eb#477a3ba7-8eb7-11ee-a8ad-00e01a6800eb</t>
  </si>
  <si>
    <t>102108</t>
  </si>
  <si>
    <t>Сумочка 9*6,5*10 см (трапеция), Золото (С-02)</t>
  </si>
  <si>
    <t>https://www.lavrpack.ru/local/templates/phoenix_v1/images_cache/thumbs/5ebd356f6a5bf8b3e1a1019f83d08eb4.webp?v=1790830714</t>
  </si>
  <si>
    <t>5f23cbc9-d90e-11ed-8488-00e01a6800eb#2a0c5888-8eb7-11ee-a8ad-00e01a6800eb</t>
  </si>
  <si>
    <t>Сумочка 9*6,5*10 см (трапеция), Красный (С-01)</t>
  </si>
  <si>
    <t>https://www.lavrpack.ru/local/templates/phoenix_v1/images_cache/thumbs/f917077b19b2cf394765627518ce242a.webp?v=1790830714</t>
  </si>
  <si>
    <t>5f23cbc9-d90e-11ed-8488-00e01a6800eb#7909a21c-8eb7-11ee-a8ad-00e01a6800eb</t>
  </si>
  <si>
    <t>Сумочка 9*6,5*10 см (трапеция), Розовое золото (С-04)</t>
  </si>
  <si>
    <t>https://www.lavrpack.ru/local/templates/phoenix_v1/images_cache/thumbs/94a3223b275999e80edacf23fdf1b640.webp?v=1790830714</t>
  </si>
  <si>
    <t>5f23cbc9-d90e-11ed-8488-00e01a6800eb#57089a09-8eb7-11ee-a8ad-00e01a6800eb</t>
  </si>
  <si>
    <t>Сумочка 9*6,5*10 см (трапеция), Серебро (С-03)</t>
  </si>
  <si>
    <t>https://www.lavrpack.ru/local/templates/phoenix_v1/images_cache/thumbs/017b09e05038f19abbada9a0aa84acc1.webp?v=1790830714</t>
  </si>
  <si>
    <t>5f23cbc9-d90e-11ed-8488-00e01a6800eb#91df9d98-8eb7-11ee-a8ad-00e01a6800eb</t>
  </si>
  <si>
    <t>Сумочка 9*6,5*10 см (трапеция), Сирень (С-05)</t>
  </si>
  <si>
    <t>https://www.lavrpack.ru/local/templates/phoenix_v1/images_cache/thumbs/2f35fe011a16317131af5e3160a892a2.webp?v=1790830714</t>
  </si>
  <si>
    <t>5f23cbc9-d90e-11ed-8488-00e01a6800eb#a153ccc3-8eb7-11ee-a8ad-00e01a6800eb</t>
  </si>
  <si>
    <t>Сумочка 9*6,5*10 см (трапеция), Тиффани (С-06)</t>
  </si>
  <si>
    <t>https://www.lavrpack.ru/local/templates/phoenix_v1/images_cache/thumbs/ed6702f35abe11da2a90b200ff7e0b0c.webp?v=1790830714</t>
  </si>
  <si>
    <t>5f23cbc9-d90e-11ed-8488-00e01a6800eb#5f23cc35-d90e-11ed-8488-00e01a6800eb</t>
  </si>
  <si>
    <t>Сумочка 9*6,5*10 см (трапеция), Фиолетовый</t>
  </si>
  <si>
    <t>https://www.lavrpack.ru/local/templates/phoenix_v1/images_cache/thumbs/faa5bbf9eeb9b9cd01d3b1b2241a7a2c.webp?v=1790830714</t>
  </si>
  <si>
    <t>b108cd55-d907-11ed-8488-00e01a6800eb#2fb056b0-431a-11ee-a90e-00e01a6800eb</t>
  </si>
  <si>
    <t>102104</t>
  </si>
  <si>
    <t>Сумочка 12*8*12</t>
  </si>
  <si>
    <t>(трапеция), Фиалка</t>
  </si>
  <si>
    <t>5 см</t>
  </si>
  <si>
    <t>https://www.lavrpack.ru/local/templates/phoenix_v1/images_cache/thumbs/a76f988b6e9b8055ada7c76fd71b48bc.webp?v=1790830714</t>
  </si>
  <si>
    <t>b108cd55-d907-11ed-8488-00e01a6800eb#56d7bf10-d908-11ed-8488-00e01a6800eb</t>
  </si>
  <si>
    <t>(трапеция), Светло сиреневый</t>
  </si>
  <si>
    <t>https://www.lavrpack.ru/local/templates/phoenix_v1/images_cache/thumbs/818dee83e2a2dea8171cd9e6557e7eb0.webp?v=1790830714</t>
  </si>
  <si>
    <t>b108cd55-d907-11ed-8488-00e01a6800eb#59b3fc6d-8eb0-11ee-a8ad-00e01a6800eb</t>
  </si>
  <si>
    <t>(трапеция), Розовое золото (A-04)</t>
  </si>
  <si>
    <t>https://www.lavrpack.ru/local/templates/phoenix_v1/images_cache/thumbs/2f415d3e3a276a696cebb6913d66d8f8.webp?v=1790830714</t>
  </si>
  <si>
    <t>b108cd55-d907-11ed-8488-00e01a6800eb#a26a085b-8eb0-11ee-a8ad-00e01a6800eb</t>
  </si>
  <si>
    <t>(трапеция), Тиффани (A-06)</t>
  </si>
  <si>
    <t>https://www.lavrpack.ru/local/templates/phoenix_v1/images_cache/thumbs/d6e9d3886b2f382e39484a544ed69eac.webp?v=1790830714</t>
  </si>
  <si>
    <t>b108cd55-d907-11ed-8488-00e01a6800eb#838d912d-8eb0-11ee-a8ad-00e01a6800eb</t>
  </si>
  <si>
    <t>(трапеция), Сирень (A-05)</t>
  </si>
  <si>
    <t>https://www.lavrpack.ru/local/templates/phoenix_v1/images_cache/thumbs/afe37c565a405b74724b7427d7f1b533.webp?v=1790830714</t>
  </si>
  <si>
    <t>b108cd55-d907-11ed-8488-00e01a6800eb#cc13835d-8eaf-11ee-a8ad-00e01a6800eb</t>
  </si>
  <si>
    <t>(трапеция), Красный (A-01)</t>
  </si>
  <si>
    <t>https://www.lavrpack.ru/local/templates/phoenix_v1/images_cache/thumbs/83050a79ebe9fa9e5abfc4b791f914c6.webp?v=1790830714</t>
  </si>
  <si>
    <t>b108cd55-d907-11ed-8488-00e01a6800eb#4a6b4280-d908-11ed-8488-00e01a6800eb</t>
  </si>
  <si>
    <t>(трапеция), Фуксия</t>
  </si>
  <si>
    <t>https://www.lavrpack.ru/local/templates/phoenix_v1/images_cache/thumbs/d6b4b9cd7f13baa08df3b708e41b7b96.webp?v=1790834852</t>
  </si>
  <si>
    <t>b108cd55-d907-11ed-8488-00e01a6800eb#4211aec8-d908-11ed-8488-00e01a6800eb</t>
  </si>
  <si>
    <t>(трапеция), Розовый</t>
  </si>
  <si>
    <t>https://www.lavrpack.ru/local/templates/phoenix_v1/images_cache/thumbs/dc867c69d1475d049beab5a7f5609daa.webp?v=1790830714</t>
  </si>
  <si>
    <t>b108cd55-d907-11ed-8488-00e01a6800eb#0e28d729-8eb0-11ee-a8ad-00e01a6800eb</t>
  </si>
  <si>
    <t>(трапеция), Серебро (A-03)</t>
  </si>
  <si>
    <t>https://www.lavrpack.ru/local/templates/phoenix_v1/images_cache/thumbs/687bdfa639f1f4e3e88f0ae6973a0728.webp?v=1790830714</t>
  </si>
  <si>
    <t>b108cd55-d907-11ed-8488-00e01a6800eb#f3e6a922-8eaf-11ee-a8ad-00e01a6800eb</t>
  </si>
  <si>
    <t>(трапеция), Золото (A-02)</t>
  </si>
  <si>
    <t>https://www.lavrpack.ru/local/templates/phoenix_v1/images_cache/thumbs/34eb0379d22903e59d6db98bc3d9d384.webp?v=1790830714</t>
  </si>
  <si>
    <t>b108cd55-d907-11ed-8488-00e01a6800eb#a03e6dc0-d908-11ed-8488-00e01a6800eb</t>
  </si>
  <si>
    <t>(трапеция), Красный</t>
  </si>
  <si>
    <t>https://www.lavrpack.ru/local/templates/phoenix_v1/images_cache/thumbs/d77fbc54be54cce5c60dace60beb4bf5.webp?v=1790830714</t>
  </si>
  <si>
    <t>b108cd55-d907-11ed-8488-00e01a6800eb#b04493fc-d908-11ed-8488-00e01a6800eb</t>
  </si>
  <si>
    <t>(трапеция), Персиковый</t>
  </si>
  <si>
    <t>https://www.lavrpack.ru/local/templates/phoenix_v1/images_cache/thumbs/670ea38bb1c9c5833d02a811964ed085.webp?v=1790834852</t>
  </si>
  <si>
    <t>b108cd55-d907-11ed-8488-00e01a6800eb#14bfe63f-4319-11ee-a90e-00e01a6800eb</t>
  </si>
  <si>
    <t>(трапеция), Пурпурный</t>
  </si>
  <si>
    <t>https://www.lavrpack.ru/local/templates/phoenix_v1/images_cache/thumbs/a6ae024a9adda4afebe7843e721b662a.webp?v=1790830714</t>
  </si>
  <si>
    <t>1ebcb17f-d90a-11ed-8488-00e01a6800eb#5fbe4c71-d90b-11ed-8488-00e01a6800eb</t>
  </si>
  <si>
    <t>102105</t>
  </si>
  <si>
    <t>Сумочка 13*9,5*15</t>
  </si>
  <si>
    <t>https://www.lavrpack.ru/local/templates/phoenix_v1/images_cache/thumbs/89344a7656740d1b7890a43d645067fb.webp?v=1790830714</t>
  </si>
  <si>
    <t>1ebcb17f-d90a-11ed-8488-00e01a6800eb#5994ba0f-431b-11ee-a90e-00e01a6800eb</t>
  </si>
  <si>
    <t>https://www.lavrpack.ru/local/templates/phoenix_v1/images_cache/thumbs/adac358097d24ceae26beb2014e770a7.webp?v=1790830714</t>
  </si>
  <si>
    <t>1ebcb17f-d90a-11ed-8488-00e01a6800eb#f7c42ea7-d90b-11ed-8488-00e01a6800eb</t>
  </si>
  <si>
    <t>https://www.lavrpack.ru/local/templates/phoenix_v1/images_cache/thumbs/584f31c166f697310544ad5d71ca3b23.webp?v=1790830714</t>
  </si>
  <si>
    <t>1ebcb17f-d90a-11ed-8488-00e01a6800eb#eef134c3-d90b-11ed-8488-00e01a6800eb</t>
  </si>
  <si>
    <t>https://www.lavrpack.ru/local/templates/phoenix_v1/images_cache/thumbs/796765358cea2beadb59cc0fb867e658.webp?v=1790830714</t>
  </si>
  <si>
    <t>1ebcb17f-d90a-11ed-8488-00e01a6800eb#f96783de-b338-11f0-ab48-22344d083d2c</t>
  </si>
  <si>
    <t>(трапеция), Тиффани</t>
  </si>
  <si>
    <t>https://www.lavrpack.ru/local/templates/phoenix_v1/images_cache/thumbs/c348b7c37694c340ea3f10534075614a.webp?v=1790852980</t>
  </si>
  <si>
    <t>1ebcb17f-d90a-11ed-8488-00e01a6800eb#51bd7426-d90b-11ed-8488-00e01a6800eb</t>
  </si>
  <si>
    <t>https://www.lavrpack.ru/local/templates/phoenix_v1/images_cache/thumbs/5397860ede013667220254db095c062a.webp?v=1790830714</t>
  </si>
  <si>
    <t>1ebcb17f-d90a-11ed-8488-00e01a6800eb#65e15893-d90b-11ed-8488-00e01a6800eb</t>
  </si>
  <si>
    <t>https://www.lavrpack.ru/local/templates/phoenix_v1/images_cache/thumbs/2602252c3422341bfa82a3152c29af02.webp?v=1790830714</t>
  </si>
  <si>
    <t>1ebcb17f-d90a-11ed-8488-00e01a6800eb#18a522ac-431c-11ee-a90e-00e01a6800eb</t>
  </si>
  <si>
    <t>https://www.lavrpack.ru/local/templates/phoenix_v1/images_cache/thumbs/efbc7fda4830101cc18a49a03879fd66.webp?v=1790830714</t>
  </si>
  <si>
    <t>b8b54f78-9c0c-11ef-ab3b-22344d083d2c#fc25fc75-9c0c-11ef-ab3b-22344d083d2c</t>
  </si>
  <si>
    <t>110348</t>
  </si>
  <si>
    <t>Сумочка 13x13x15см градиент, Желтый</t>
  </si>
  <si>
    <t>https://www.lavrpack.ru/local/templates/phoenix_v1/images_cache/thumbs/9632bb8a70c4d3b6fc1c3c2e2a72cd91.webp?v=1790830714</t>
  </si>
  <si>
    <t>b8b54f78-9c0c-11ef-ab3b-22344d083d2c#08c58dec-9c0d-11ef-ab3b-22344d083d2c</t>
  </si>
  <si>
    <t>Сумочка 13x13x15см градиент, Зеленый</t>
  </si>
  <si>
    <t>https://www.lavrpack.ru/local/templates/phoenix_v1/images_cache/thumbs/dff5d8ade0967f277313c8f2ea995a1b.webp?v=1790830714</t>
  </si>
  <si>
    <t>b8b54f78-9c0c-11ef-ab3b-22344d083d2c#bec800e1-9c0c-11ef-ab3b-22344d083d2c</t>
  </si>
  <si>
    <t>Сумочка 13x13x15см градиент, Красный</t>
  </si>
  <si>
    <t>https://www.lavrpack.ru/local/templates/phoenix_v1/images_cache/thumbs/ca0e4789f0edb740948a541af627f2c7.webp?v=1790830714</t>
  </si>
  <si>
    <t>b8b54f78-9c0c-11ef-ab3b-22344d083d2c#033a0f86-9c0d-11ef-ab3b-22344d083d2c</t>
  </si>
  <si>
    <t>Сумочка 13x13x15см градиент, Крем</t>
  </si>
  <si>
    <t>https://www.lavrpack.ru/local/templates/phoenix_v1/images_cache/thumbs/73214df20939948b3b7199bceff5795e.webp?v=1790830714</t>
  </si>
  <si>
    <t>b8b54f78-9c0c-11ef-ab3b-22344d083d2c#d778ef8d-9c0c-11ef-ab3b-22344d083d2c</t>
  </si>
  <si>
    <t>Сумочка 13x13x15см градиент, Персик</t>
  </si>
  <si>
    <t>https://www.lavrpack.ru/local/templates/phoenix_v1/images_cache/thumbs/2615c1561f4f8855a78690dfce527f2e.webp?v=1790830714</t>
  </si>
  <si>
    <t>b8b54f78-9c0c-11ef-ab3b-22344d083d2c#eff0b6bc-9c0c-11ef-ab3b-22344d083d2c</t>
  </si>
  <si>
    <t>Сумочка 13x13x15см градиент, Пудра</t>
  </si>
  <si>
    <t>https://www.lavrpack.ru/local/templates/phoenix_v1/images_cache/thumbs/5b0d03a903d4a0b3b1c56fbedc92cb1b.webp?v=1790830714</t>
  </si>
  <si>
    <t>b8b54f78-9c0c-11ef-ab3b-22344d083d2c#ddc76e61-9c0c-11ef-ab3b-22344d083d2c</t>
  </si>
  <si>
    <t>Сумочка 13x13x15см градиент, Светло-сиреневый</t>
  </si>
  <si>
    <t>https://www.lavrpack.ru/local/templates/phoenix_v1/images_cache/thumbs/90a5e98009b5b9ec769bc3c5e540f1df.webp?v=1790830714</t>
  </si>
  <si>
    <t>b8b54f78-9c0c-11ef-ab3b-22344d083d2c#14dc5126-9c0d-11ef-ab3b-22344d083d2c</t>
  </si>
  <si>
    <t>Сумочка 13x13x15см градиент, Синий</t>
  </si>
  <si>
    <t>https://www.lavrpack.ru/local/templates/phoenix_v1/images_cache/thumbs/49a40e0af1a2a94ea2b89e6fb546697c.webp?v=1790830714</t>
  </si>
  <si>
    <t>b8b54f78-9c0c-11ef-ab3b-22344d083d2c#0ec89e80-9c0d-11ef-ab3b-22344d083d2c</t>
  </si>
  <si>
    <t>Сумочка 13x13x15см градиент, Тиффани</t>
  </si>
  <si>
    <t>https://www.lavrpack.ru/local/templates/phoenix_v1/images_cache/thumbs/4743c4985180cc957751548bf8c402e0.webp?v=1790830714</t>
  </si>
  <si>
    <t>b8b54f78-9c0c-11ef-ab3b-22344d083d2c#20cddb14-9c0d-11ef-ab3b-22344d083d2c</t>
  </si>
  <si>
    <t>Сумочка 13x13x15см градиент, Фиалка</t>
  </si>
  <si>
    <t>https://www.lavrpack.ru/local/templates/phoenix_v1/images_cache/thumbs/3bf9ac16c36e2d0f53ba1a806a790dd3.webp?v=1790830714</t>
  </si>
  <si>
    <t>b8b54f78-9c0c-11ef-ab3b-22344d083d2c#1ad428ca-9c0d-11ef-ab3b-22344d083d2c</t>
  </si>
  <si>
    <t>Сумочка 13x13x15см градиент, Фиолетовый</t>
  </si>
  <si>
    <t>https://www.lavrpack.ru/local/templates/phoenix_v1/images_cache/thumbs/33985b76b2483097e7fe16b7c4a67e4f.webp?v=1790830714</t>
  </si>
  <si>
    <t>b8b54f78-9c0c-11ef-ab3b-22344d083d2c#cb725b7e-9c0c-11ef-ab3b-22344d083d2c</t>
  </si>
  <si>
    <t>Сумочка 13x13x15см градиент, Фуксия</t>
  </si>
  <si>
    <t>https://www.lavrpack.ru/local/templates/phoenix_v1/images_cache/thumbs/5e33a8bc30444303671d3e623e49b38f.webp?v=1790830714</t>
  </si>
  <si>
    <t>9c4e22ab-4592-11ee-a90e-00e01a6800eb#f3efb524-4592-11ee-a90e-00e01a6800eb</t>
  </si>
  <si>
    <t>103776</t>
  </si>
  <si>
    <t>Сумочка 17*11,5*20 см (трапеция), Радужный</t>
  </si>
  <si>
    <t>https://www.lavrpack.ru/local/templates/phoenix_v1/images_cache/thumbs/179651ed1fe164762dd359dd7483f522.webp?v=1790830714</t>
  </si>
  <si>
    <t>6a4856c4-d90d-11ed-8488-00e01a6800eb#26933c34-b08c-11ef-ab3b-22344d083d2c</t>
  </si>
  <si>
    <t>102107</t>
  </si>
  <si>
    <t>Сумочка 22*10,5*13 см (прямоугольник), Весна</t>
  </si>
  <si>
    <t>https://www.lavrpack.ru/local/templates/phoenix_v1/images_cache/thumbs/0367c06043074f84dfcda0fe10bc60a4.webp?v=1790830714</t>
  </si>
  <si>
    <t>6a4856c4-d90d-11ed-8488-00e01a6800eb#c3dfb665-d90d-11ed-8488-00e01a6800eb</t>
  </si>
  <si>
    <t>Сумочка 22*10,5*13 см (прямоугольник), Зеленый</t>
  </si>
  <si>
    <t>https://www.lavrpack.ru/local/templates/phoenix_v1/images_cache/thumbs/7ed04a80270e9fea5db1c60a3dec4852.webp?v=1790830714</t>
  </si>
  <si>
    <t>6a4856c4-d90d-11ed-8488-00e01a6800eb#f7faeadd-8eb8-11ee-a8ad-00e01a6800eb</t>
  </si>
  <si>
    <t>Сумочка 22*10,5*13 см (прямоугольник), Золото (D-02)</t>
  </si>
  <si>
    <t>https://www.lavrpack.ru/local/templates/phoenix_v1/images_cache/thumbs/6e4a0f370acde7290e51fd99d69c0008.webp?v=1790830714</t>
  </si>
  <si>
    <t>6a4856c4-d90d-11ed-8488-00e01a6800eb#d78df02b-8eb8-11ee-a8ad-00e01a6800eb</t>
  </si>
  <si>
    <t>Сумочка 22*10,5*13 см (прямоугольник), Красный (D-01)</t>
  </si>
  <si>
    <t>https://www.lavrpack.ru/local/templates/phoenix_v1/images_cache/thumbs/45e88bbe3d88b1656cc6b43ee7ea07c6.webp?v=1790830714</t>
  </si>
  <si>
    <t>6a4856c4-d90d-11ed-8488-00e01a6800eb#2545b9c1-8eb9-11ee-a8ad-00e01a6800eb</t>
  </si>
  <si>
    <t>Сумочка 22*10,5*13 см (прямоугольник), Розовое золото (D-04)</t>
  </si>
  <si>
    <t>https://www.lavrpack.ru/local/templates/phoenix_v1/images_cache/thumbs/cf1b73138ecd08c453c81d4cae67d8f4.webp?v=1790830714</t>
  </si>
  <si>
    <t>6a4856c4-d90d-11ed-8488-00e01a6800eb#12d7d250-8eb9-11ee-a8ad-00e01a6800eb</t>
  </si>
  <si>
    <t>Сумочка 22*10,5*13 см (прямоугольник), Серебро (D-03)</t>
  </si>
  <si>
    <t>https://www.lavrpack.ru/local/templates/phoenix_v1/images_cache/thumbs/a67d9c748d453009f7b64b8eee90ee0c.webp?v=1790830714</t>
  </si>
  <si>
    <t>6a4856c4-d90d-11ed-8488-00e01a6800eb#adfc281f-d90d-11ed-8488-00e01a6800eb</t>
  </si>
  <si>
    <t>Сумочка 22*10,5*13 см (прямоугольник), Синий</t>
  </si>
  <si>
    <t>https://www.lavrpack.ru/local/templates/phoenix_v1/images_cache/thumbs/abb0ed727fe3a457834c7f4fb0134e29.webp?v=1790830714</t>
  </si>
  <si>
    <t>6a4856c4-d90d-11ed-8488-00e01a6800eb#440803ea-8eb9-11ee-a8ad-00e01a6800eb</t>
  </si>
  <si>
    <t>Сумочка 22*10,5*13 см (прямоугольник), Сирень (D-05)</t>
  </si>
  <si>
    <t>https://www.lavrpack.ru/local/templates/phoenix_v1/images_cache/thumbs/14185e14a681f005fdb21df30dc2bacb.webp?v=1790830714</t>
  </si>
  <si>
    <t>6a4856c4-d90d-11ed-8488-00e01a6800eb#c4d1f850-8cf8-11ee-a8ad-00e01a6800eb</t>
  </si>
  <si>
    <t>Сумочка 22*10,5*13 см (прямоугольник), Тиффани</t>
  </si>
  <si>
    <t>https://www.lavrpack.ru/local/templates/phoenix_v1/images_cache/thumbs/58d83066286de3c2f99a106647e9c993.webp?v=1790830714</t>
  </si>
  <si>
    <t>6a4856c4-d90d-11ed-8488-00e01a6800eb#592cfae9-8eb9-11ee-a8ad-00e01a6800eb</t>
  </si>
  <si>
    <t>Сумочка 22*10,5*13 см (прямоугольник), Тиффани (D-06)</t>
  </si>
  <si>
    <t>https://www.lavrpack.ru/local/templates/phoenix_v1/images_cache/thumbs/54ba515cb11df8d7f220581348b4f036.webp?v=1790830714</t>
  </si>
  <si>
    <t>47d5f75e-9c13-11ef-ab3b-22344d083d2c#601df347-9c13-11ef-ab3b-22344d083d2c</t>
  </si>
  <si>
    <t>110351</t>
  </si>
  <si>
    <t>Сумочка 22x10,5х13</t>
  </si>
  <si>
    <t>Сердечный подарок</t>
  </si>
  <si>
    <t>https://www.lavrpack.ru/local/templates/phoenix_v1/images_cache/thumbs/2130e8b7bae614ba164aed5188dc0d2e.webp?v=1790830714</t>
  </si>
  <si>
    <t>47d5f75e-9c13-11ef-ab3b-22344d083d2c#2e3be0a2-143c-11f0-ab40-22344d083d2c</t>
  </si>
  <si>
    <t>Крафт</t>
  </si>
  <si>
    <t>https://www.lavrpack.ru/local/templates/phoenix_v1/images_cache/thumbs/5279643f45ad8eca0866db07e407ae2f.webp?v=1790830714</t>
  </si>
  <si>
    <t>47d5f75e-9c13-11ef-ab3b-22344d083d2c#60d04cf8-13b5-11f0-ab40-22344d083d2c</t>
  </si>
  <si>
    <t>https://www.lavrpack.ru/local/templates/phoenix_v1/images_cache/thumbs/2ca5098a7f3060dc7cb65d53ed6b6259.webp?v=1790830714</t>
  </si>
  <si>
    <t>332dcb90-9c10-11ef-ab3b-22344d083d2c#3f348396-9c10-11ef-ab3b-22344d083d2c</t>
  </si>
  <si>
    <t>110349</t>
  </si>
  <si>
    <t>Сумочка 22x10,5x13</t>
  </si>
  <si>
    <t>https://www.lavrpack.ru/local/templates/phoenix_v1/images_cache/thumbs/9aaa434f56fa59bc99e57d990a0123d1.webp?v=1790830714</t>
  </si>
  <si>
    <t>332dcb90-9c10-11ef-ab3b-22344d083d2c#9db6c4c5-9c10-11ef-ab3b-22344d083d2c</t>
  </si>
  <si>
    <t>https://www.lavrpack.ru/local/templates/phoenix_v1/images_cache/thumbs/b2e1999a30887a0b2de725b70afb7e95.webp?v=1790830714</t>
  </si>
  <si>
    <t>332dcb90-9c10-11ef-ab3b-22344d083d2c#ba413a66-9c10-11ef-ab3b-22344d083d2c</t>
  </si>
  <si>
    <t>https://www.lavrpack.ru/local/templates/phoenix_v1/images_cache/thumbs/e669a9ce872ea3ae026802d5c42046e6.webp?v=1790830714</t>
  </si>
  <si>
    <t>332dcb90-9c10-11ef-ab3b-22344d083d2c#97b2f832-9c10-11ef-ab3b-22344d083d2c</t>
  </si>
  <si>
    <t>https://www.lavrpack.ru/local/templates/phoenix_v1/images_cache/thumbs/52adb81b6c3725e1434e5e48d5d485cd.webp?v=1790830714</t>
  </si>
  <si>
    <t>332dcb90-9c10-11ef-ab3b-22344d083d2c#c09cbffc-9c10-11ef-ab3b-22344d083d2c</t>
  </si>
  <si>
    <t>https://www.lavrpack.ru/local/templates/phoenix_v1/images_cache/thumbs/da0e82fe2b6db1e0b8c088b9a0901bb5.webp?v=1790830714</t>
  </si>
  <si>
    <t>332dcb90-9c10-11ef-ab3b-22344d083d2c#acfc2c7e-9c10-11ef-ab3b-22344d083d2c</t>
  </si>
  <si>
    <t>https://www.lavrpack.ru/local/templates/phoenix_v1/images_cache/thumbs/a2c212b22ae589a37dc0aaca523b2a31.webp?v=1790830714</t>
  </si>
  <si>
    <t>332dcb90-9c10-11ef-ab3b-22344d083d2c#4bc637ee-9c10-11ef-ab3b-22344d083d2c</t>
  </si>
  <si>
    <t>https://www.lavrpack.ru/local/templates/phoenix_v1/images_cache/thumbs/cb7ee65e73dc6f097b90442f172ea677.webp?v=1790830714</t>
  </si>
  <si>
    <t>332dcb90-9c10-11ef-ab3b-22344d083d2c#b3bc173e-9c10-11ef-ab3b-22344d083d2c</t>
  </si>
  <si>
    <t>https://www.lavrpack.ru/local/templates/phoenix_v1/images_cache/thumbs/8e44dc0f1c095f8c32138f9689f59e91.webp?v=1790830714</t>
  </si>
  <si>
    <t>332dcb90-9c10-11ef-ab3b-22344d083d2c#814f6fbd-9c10-11ef-ab3b-22344d083d2c</t>
  </si>
  <si>
    <t>https://www.lavrpack.ru/local/templates/phoenix_v1/images_cache/thumbs/0641cddaacfbe72bfde79835d3166f78.webp?v=1790830714</t>
  </si>
  <si>
    <t>332dcb90-9c10-11ef-ab3b-22344d083d2c#7b1e1c42-9c10-11ef-ab3b-22344d083d2c</t>
  </si>
  <si>
    <t>https://www.lavrpack.ru/local/templates/phoenix_v1/images_cache/thumbs/db0fbf29508a3499165270f0007d2aa6.webp?v=1790830714</t>
  </si>
  <si>
    <t>332dcb90-9c10-11ef-ab3b-22344d083d2c#8e647964-9c10-11ef-ab3b-22344d083d2c</t>
  </si>
  <si>
    <t>https://www.lavrpack.ru/local/templates/phoenix_v1/images_cache/thumbs/0575a51c4ff2703fccbfa4ea22a522b0.webp?v=1790830714</t>
  </si>
  <si>
    <t>332dcb90-9c10-11ef-ab3b-22344d083d2c#a467f802-9c10-11ef-ab3b-22344d083d2c</t>
  </si>
  <si>
    <t>https://www.lavrpack.ru/local/templates/phoenix_v1/images_cache/thumbs/543b2f6bd71c75de880c2b1de022ac83.webp?v=1790830714</t>
  </si>
  <si>
    <t>332dcb90-9c10-11ef-ab3b-22344d083d2c#3f348483-9c10-11ef-ab3b-22344d083d2c</t>
  </si>
  <si>
    <t>https://www.lavrpack.ru/local/templates/phoenix_v1/images_cache/thumbs/e31c31fdbfadd44a8173163e68eb840f.webp?v=1790830714</t>
  </si>
  <si>
    <t>335d11d5-9c05-11ef-ab3b-22344d083d2c#9096500d-9c05-11ef-ab3b-22344d083d2c</t>
  </si>
  <si>
    <t>110339</t>
  </si>
  <si>
    <t>Сумочка 23,5x9x13</t>
  </si>
  <si>
    <t>https://www.lavrpack.ru/local/templates/phoenix_v1/images_cache/thumbs/19ef806036a3f206a6f5dc314dd2a322.webp?v=1790830714</t>
  </si>
  <si>
    <t>335d11d5-9c05-11ef-ab3b-22344d083d2c#b05c3832-9c05-11ef-ab3b-22344d083d2c</t>
  </si>
  <si>
    <t>(трапеция), Зеленый</t>
  </si>
  <si>
    <t>https://www.lavrpack.ru/local/templates/phoenix_v1/images_cache/thumbs/f3221a6bbc174fdb30e437caa9b64ab1.webp?v=1790830714</t>
  </si>
  <si>
    <t>335d11d5-9c05-11ef-ab3b-22344d083d2c#c9038363-9c05-11ef-ab3b-22344d083d2c</t>
  </si>
  <si>
    <t>(трапеция), Фиолетовый</t>
  </si>
  <si>
    <t>https://www.lavrpack.ru/local/templates/phoenix_v1/images_cache/thumbs/5ff5a1a2d878e7a81d1162be0f610d27.webp?v=1790830714</t>
  </si>
  <si>
    <t>335d11d5-9c05-11ef-ab3b-22344d083d2c#b692b6f3-9c05-11ef-ab3b-22344d083d2c</t>
  </si>
  <si>
    <t>https://www.lavrpack.ru/local/templates/phoenix_v1/images_cache/thumbs/27560259d150637da7dcaf87d5df0d77.webp?v=1790830714</t>
  </si>
  <si>
    <t>335d11d5-9c05-11ef-ab3b-22344d083d2c#7e5b2546-9c05-11ef-ab3b-22344d083d2c</t>
  </si>
  <si>
    <t>https://www.lavrpack.ru/local/templates/phoenix_v1/images_cache/thumbs/c5a203f7fce12569ae1e8bc635b3016a.webp?v=1790830714</t>
  </si>
  <si>
    <t>335d11d5-9c05-11ef-ab3b-22344d083d2c#8477fb82-9c05-11ef-ab3b-22344d083d2c</t>
  </si>
  <si>
    <t>https://www.lavrpack.ru/local/templates/phoenix_v1/images_cache/thumbs/ac62e6455d8ec7a408f9e691436ff5ab.webp?v=1790830714</t>
  </si>
  <si>
    <t>335d11d5-9c05-11ef-ab3b-22344d083d2c#bcaede5c-9c05-11ef-ab3b-22344d083d2c</t>
  </si>
  <si>
    <t>(трапеция), Синий</t>
  </si>
  <si>
    <t>https://www.lavrpack.ru/local/templates/phoenix_v1/images_cache/thumbs/a8119bd7fc555fe7eb3f281a7bf40afd.webp?v=1790830714</t>
  </si>
  <si>
    <t>5c725bc9-6375-11ee-bc2f-00e01a6800eb#68b3b182-6375-11ee-bc2f-00e01a6800eb</t>
  </si>
  <si>
    <t>104286</t>
  </si>
  <si>
    <t>Сумочка новогодняя 3в1 (w7884/w7885), Звезды</t>
  </si>
  <si>
    <t>https://www.lavrpack.ru/local/templates/phoenix_v1/images_cache/thumbs/5a79e5ff6915eddf80b502cce5795714.webp?v=1790830714</t>
  </si>
  <si>
    <t>5c725bc9-6375-11ee-bc2f-00e01a6800eb#75165a6f-6375-11ee-bc2f-00e01a6800eb</t>
  </si>
  <si>
    <t>Сумочка новогодняя 3в1 (w7884/w7885), Олень</t>
  </si>
  <si>
    <t>https://www.lavrpack.ru/local/templates/phoenix_v1/images_cache/thumbs/76d13ab4912bfa8692ed3e357023d7f4.webp?v=1790830714</t>
  </si>
  <si>
    <t>Пакеты — 69 поз.</t>
  </si>
  <si>
    <t>aced080b-d79a-11ee-a0ad-00e01a6800eb#b4b28a8f-13a5-11f0-ab40-22344d083d2c</t>
  </si>
  <si>
    <t>106591</t>
  </si>
  <si>
    <t>Пакет</t>
  </si>
  <si>
    <t>"Fresh" 17×7,5×32,5см</t>
  </si>
  <si>
    <t>https://www.lavrpack.ru/local/templates/phoenix_v1/images_cache/thumbs/21d6ba76e4f9fdb746ce01a58fba71dc.webp?v=1790830714</t>
  </si>
  <si>
    <t>aced080b-d79a-11ee-a0ad-00e01a6800eb#d0d2b2dc-13a5-11f0-ab40-22344d083d2c</t>
  </si>
  <si>
    <t>Персик</t>
  </si>
  <si>
    <t>https://www.lavrpack.ru/local/templates/phoenix_v1/images_cache/thumbs/e3a1c1ee2074cc7eab93287bb95665bf.webp?v=1790852980</t>
  </si>
  <si>
    <t>f9d77ee6-d79a-11ee-a0ad-00e01a6800eb#a50c5672-13a2-11f0-ab40-22344d083d2c</t>
  </si>
  <si>
    <t>106595</t>
  </si>
  <si>
    <t>Пурпурный</t>
  </si>
  <si>
    <t>"Fresh" 22×10×40см</t>
  </si>
  <si>
    <t>https://www.lavrpack.ru/local/templates/phoenix_v1/images_cache/thumbs/7d32e4fc3309e68ae8bec9be552993c8.webp?v=1790830714</t>
  </si>
  <si>
    <t>f9d77ee6-d79a-11ee-a0ad-00e01a6800eb#bf4be6c8-13a4-11f0-ab40-22344d083d2c</t>
  </si>
  <si>
    <t>Светло-сиреневый</t>
  </si>
  <si>
    <t>f9d77ee6-d79a-11ee-a0ad-00e01a6800eb#9282e90f-13a2-11f0-ab40-22344d083d2c</t>
  </si>
  <si>
    <t>https://www.lavrpack.ru/local/templates/phoenix_v1/images_cache/thumbs/ada3bdd5e4b537616dea731870aec0ee.webp?v=1790830714</t>
  </si>
  <si>
    <t>f9d77ee6-d79a-11ee-a0ad-00e01a6800eb#47a0c7c4-b49c-11f0-ab48-22344d083d2c</t>
  </si>
  <si>
    <t>Красный</t>
  </si>
  <si>
    <t>https://www.lavrpack.ru/local/templates/phoenix_v1/images_cache/thumbs/3bfd20185d45772c50e31d1e8865cf2d.webp?v=1790830714</t>
  </si>
  <si>
    <t>f9d77ee6-d79a-11ee-a0ad-00e01a6800eb#c606b76e-13a4-11f0-ab40-22344d083d2c</t>
  </si>
  <si>
    <t>Крем</t>
  </si>
  <si>
    <t>f9d77ee6-d79a-11ee-a0ad-00e01a6800eb#076f9ab6-d79b-11ee-a0ad-00e01a6800eb</t>
  </si>
  <si>
    <t>https://www.lavrpack.ru/local/templates/phoenix_v1/images_cache/thumbs/f19fe803819ab5ae464c06f52a414dbc.webp?v=1790852980</t>
  </si>
  <si>
    <t>f9d77ee6-d79a-11ee-a0ad-00e01a6800eb#b7330725-13a4-11f0-ab40-22344d083d2c</t>
  </si>
  <si>
    <t>f9d77ee6-d79a-11ee-a0ad-00e01a6800eb#0dd08ac1-d79b-11ee-a0ad-00e01a6800eb</t>
  </si>
  <si>
    <t>https://www.lavrpack.ru/local/templates/phoenix_v1/images_cache/thumbs/d5a1012a535115e6a05ef3d84db97209.webp?v=1790852980</t>
  </si>
  <si>
    <t>f9d77ee6-d79a-11ee-a0ad-00e01a6800eb#40d99b4e-b49c-11f0-ab48-22344d083d2c</t>
  </si>
  <si>
    <t>Тиффани</t>
  </si>
  <si>
    <t>https://www.lavrpack.ru/local/templates/phoenix_v1/images_cache/thumbs/47b7542acf3de72a2f1f2aad21262d56.webp?v=1790852980</t>
  </si>
  <si>
    <t>f9d77ee6-d79a-11ee-a0ad-00e01a6800eb#98fa3065-13a2-11f0-ab40-22344d083d2c</t>
  </si>
  <si>
    <t>Лаванда</t>
  </si>
  <si>
    <t>https://www.lavrpack.ru/local/templates/phoenix_v1/images_cache/thumbs/a8e2cbf1d77e090edc0bb51e19138189.webp?v=1790852980</t>
  </si>
  <si>
    <t>f9d77ee6-d79a-11ee-a0ad-00e01a6800eb#076f9ad8-d79b-11ee-a0ad-00e01a6800eb</t>
  </si>
  <si>
    <t>https://www.lavrpack.ru/local/templates/phoenix_v1/images_cache/thumbs/28f221b2f8f9581fdd51ea72f0ca28e4.webp?v=1790852980</t>
  </si>
  <si>
    <t>6d702416-7f2d-11ec-b73f-0018e40a3af2</t>
  </si>
  <si>
    <t>64534</t>
  </si>
  <si>
    <t>Китай</t>
  </si>
  <si>
    <t>матовый 21×11×14см.Красный</t>
  </si>
  <si>
    <t>https://www.lavrpack.ru/local/templates/phoenix_v1/images_cache/thumbs/a78b44c64e35c204caf86c8a0e7dec1b.webp?v=1790852980</t>
  </si>
  <si>
    <t>17bd31fe-7f2e-11ec-b73f-0018e40a3af2</t>
  </si>
  <si>
    <t>64535</t>
  </si>
  <si>
    <t>матовый 21×11×14см.Сиреневый</t>
  </si>
  <si>
    <t>https://www.lavrpack.ru/local/templates/phoenix_v1/images_cache/thumbs/2f26dc7e07888d280a1bed1d022fecad.webp?v=1790852980</t>
  </si>
  <si>
    <t>5e7c3e74-f825-11f0-ab4d-22344d083d2c#d17fad56-f825-11f0-ab4d-22344d083d2c</t>
  </si>
  <si>
    <t>116609</t>
  </si>
  <si>
    <t>Пакет "Бантик", 26*32*12 (серебро)</t>
  </si>
  <si>
    <t>https://www.lavrpack.ru/local/templates/phoenix_v1/images_cache/thumbs/fb29052ff62a3968ba90df66be4019f7.webp?v=1790852980</t>
  </si>
  <si>
    <t>be5ddfda-f821-11f0-ab4d-22344d083d2c#d8d22062-f821-11f0-ab4d-22344d083d2c</t>
  </si>
  <si>
    <t>116607</t>
  </si>
  <si>
    <t>Пакет "Волна", 18*23*10 (белый)</t>
  </si>
  <si>
    <t>https://www.lavrpack.ru/local/templates/phoenix_v1/images_cache/thumbs/0971cdeb63a28a8a76fbb44a31ac0822.webp?v=1790830714</t>
  </si>
  <si>
    <t>be5ddfda-f821-11f0-ab4d-22344d083d2c#97440891-f856-11f0-ab4d-22344d083d2c</t>
  </si>
  <si>
    <t>Пакет "Волна", 18*23*10 (бордо)</t>
  </si>
  <si>
    <t>https://www.lavrpack.ru/local/templates/phoenix_v1/images_cache/thumbs/84f658f7591e0deb72db7748e9e99a00.webp?v=1790830714</t>
  </si>
  <si>
    <t>be5ddfda-f821-11f0-ab4d-22344d083d2c#defb21f2-f821-11f0-ab4d-22344d083d2c</t>
  </si>
  <si>
    <t>Пакет "Волна", 18*23*10 (красный)</t>
  </si>
  <si>
    <t>https://www.lavrpack.ru/local/templates/phoenix_v1/images_cache/thumbs/38126f5c380231828cb1902a61788b8f.webp?v=1790852980</t>
  </si>
  <si>
    <t>be5ddfda-f821-11f0-ab4d-22344d083d2c#f7a342f6-f821-11f0-ab4d-22344d083d2c</t>
  </si>
  <si>
    <t>Пакет "Волна", 26*32*12 (белый)</t>
  </si>
  <si>
    <t>https://www.lavrpack.ru/local/templates/phoenix_v1/images_cache/thumbs/05c536401a2e71a932583b370ab41d34.webp?v=1790830714</t>
  </si>
  <si>
    <t>be5ddfda-f821-11f0-ab4d-22344d083d2c#03953635-f822-11f0-ab4d-22344d083d2c</t>
  </si>
  <si>
    <t>Пакет "Волна", 26*32*12 (бордо)</t>
  </si>
  <si>
    <t>https://www.lavrpack.ru/local/templates/phoenix_v1/images_cache/thumbs/508e91d920ec41b59bf3c607ef649f7a.webp?v=1790852980</t>
  </si>
  <si>
    <t>be5ddfda-f821-11f0-ab4d-22344d083d2c#5235ab1e-f822-11f0-ab4d-22344d083d2c</t>
  </si>
  <si>
    <t>Пакет "Волна", 31*42*12 (белый)</t>
  </si>
  <si>
    <t>https://www.lavrpack.ru/local/templates/phoenix_v1/images_cache/thumbs/4055e5ea3e7c9ed01fefef5a75016ea1.webp?v=1790852980</t>
  </si>
  <si>
    <t>be5ddfda-f821-11f0-ab4d-22344d083d2c#5a5390e4-f822-11f0-ab4d-22344d083d2c</t>
  </si>
  <si>
    <t>Пакет "Волна", 31*42*12 (бордо)</t>
  </si>
  <si>
    <t>https://www.lavrpack.ru/local/templates/phoenix_v1/images_cache/thumbs/e029b05860e44c3a7c87684a225fddcb.webp?v=1790852980</t>
  </si>
  <si>
    <t>be5ddfda-f821-11f0-ab4d-22344d083d2c#66cf90cc-f822-11f0-ab4d-22344d083d2c</t>
  </si>
  <si>
    <t>Пакет "Волна", 31*42*12 (красный)</t>
  </si>
  <si>
    <t>https://www.lavrpack.ru/local/templates/phoenix_v1/images_cache/thumbs/a6dc0c0b89dd730e9fea0a42de4589cd.webp?v=1790852980</t>
  </si>
  <si>
    <t>be5ddfda-f821-11f0-ab4d-22344d083d2c#3dab04ed-f82f-11f0-ab4d-22344d083d2c</t>
  </si>
  <si>
    <t>Пакет "Волна", 31*42*12 (розовый)</t>
  </si>
  <si>
    <t>https://www.lavrpack.ru/local/templates/phoenix_v1/images_cache/thumbs/29f22779fec3498b9d81c408727efab5.webp?v=1790852980</t>
  </si>
  <si>
    <t>be5ddfda-f821-11f0-ab4d-22344d083d2c#690f6ca1-f82e-11f0-ab4d-22344d083d2c</t>
  </si>
  <si>
    <t>Пакет "Волна", 31*42*12 (серебро)</t>
  </si>
  <si>
    <t>https://www.lavrpack.ru/local/templates/phoenix_v1/images_cache/thumbs/3b0e2f976e4522490834172c9fb731c1.webp?v=1790852980</t>
  </si>
  <si>
    <t>be5ddfda-f821-11f0-ab4d-22344d083d2c#7363f899-f822-11f0-ab4d-22344d083d2c</t>
  </si>
  <si>
    <t>Пакет "Волна", 31*42*12 (сирень)</t>
  </si>
  <si>
    <t>https://www.lavrpack.ru/local/templates/phoenix_v1/images_cache/thumbs/a431b18229dc8a9d1ed39ad859949823.webp?v=1790852980</t>
  </si>
  <si>
    <t>830b318c-f820-11f0-ab4d-22344d083d2c#a180c06f-f820-11f0-ab4d-22344d083d2c</t>
  </si>
  <si>
    <t>116606</t>
  </si>
  <si>
    <t>Пакет "Геометрический узор", 18*23*10 (белый)</t>
  </si>
  <si>
    <t>https://www.lavrpack.ru/local/templates/phoenix_v1/images_cache/thumbs/3e5a2904775b368cb0106904415248c9.webp?v=1790852980</t>
  </si>
  <si>
    <t>830b318c-f820-11f0-ab4d-22344d083d2c#adf6983f-f820-11f0-ab4d-22344d083d2c</t>
  </si>
  <si>
    <t>Пакет "Геометрический узор", 18*23*10 (зеленый)</t>
  </si>
  <si>
    <t>https://www.lavrpack.ru/local/templates/phoenix_v1/images_cache/thumbs/af1ddca7c39099178be79641e1ef01f7.webp?v=1790852980</t>
  </si>
  <si>
    <t>830b318c-f820-11f0-ab4d-22344d083d2c#bdba575d-f820-11f0-ab4d-22344d083d2c</t>
  </si>
  <si>
    <t>Пакет "Геометрический узор", 26*32*12 (оранжевый)</t>
  </si>
  <si>
    <t>https://www.lavrpack.ru/local/templates/phoenix_v1/images_cache/thumbs/5dcf20fa7ba9f5586952b76d0e25d1e9.webp?v=1790852980</t>
  </si>
  <si>
    <t>830b318c-f820-11f0-ab4d-22344d083d2c#dd85b2d7-f820-11f0-ab4d-22344d083d2c</t>
  </si>
  <si>
    <t>Пакет "Геометрический узор", 31*42*12 (белый)</t>
  </si>
  <si>
    <t>https://www.lavrpack.ru/local/templates/phoenix_v1/images_cache/thumbs/df956fe0d8471b4b9d04d52fe5d492b7.webp?v=1790852980</t>
  </si>
  <si>
    <t>830b318c-f820-11f0-ab4d-22344d083d2c#e3effee4-f820-11f0-ab4d-22344d083d2c</t>
  </si>
  <si>
    <t>Пакет "Геометрический узор", 31*42*12 (зеленый)</t>
  </si>
  <si>
    <t>https://www.lavrpack.ru/local/templates/phoenix_v1/images_cache/thumbs/95db1525e6ea81d1ff0036c452090444.webp?v=1790852980</t>
  </si>
  <si>
    <t>830b318c-f820-11f0-ab4d-22344d083d2c#f650caf1-f820-11f0-ab4d-22344d083d2c</t>
  </si>
  <si>
    <t>Пакет "Геометрический узор", 31*42*12 (оранжевый)</t>
  </si>
  <si>
    <t>https://www.lavrpack.ru/local/templates/phoenix_v1/images_cache/thumbs/3762f5c2217ec2f04673a22919b2f512.webp?v=1790852980</t>
  </si>
  <si>
    <t>61e0d6d7-f824-11f0-ab4d-22344d083d2c#a0f41db3-f824-11f0-ab4d-22344d083d2c</t>
  </si>
  <si>
    <t>116608</t>
  </si>
  <si>
    <t>Пакет "Квадрат", 18*23*10 (белый)</t>
  </si>
  <si>
    <t>https://www.lavrpack.ru/local/templates/phoenix_v1/images_cache/thumbs/d3276210e1c70860962b0c48718081e3.webp?v=1790852980</t>
  </si>
  <si>
    <t>61e0d6d7-f824-11f0-ab4d-22344d083d2c#98b54fc4-f824-11f0-ab4d-22344d083d2c</t>
  </si>
  <si>
    <t>Пакет "Квадрат", 18*23*10 (золото)</t>
  </si>
  <si>
    <t>https://www.lavrpack.ru/local/templates/phoenix_v1/images_cache/thumbs/3a5c0ad1318b7a707b6a0bc902f02ca3.webp?v=1790852980</t>
  </si>
  <si>
    <t>61e0d6d7-f824-11f0-ab4d-22344d083d2c#777aabad-f824-11f0-ab4d-22344d083d2c</t>
  </si>
  <si>
    <t>Пакет "Квадрат", 18*23*10 (красный)</t>
  </si>
  <si>
    <t>https://www.lavrpack.ru/local/templates/phoenix_v1/images_cache/thumbs/4f67faceb2e6904fac5b64a798f07e03.webp?v=1790852980</t>
  </si>
  <si>
    <t>61e0d6d7-f824-11f0-ab4d-22344d083d2c#8468e2b4-f824-11f0-ab4d-22344d083d2c</t>
  </si>
  <si>
    <t>Пакет "Квадрат", 18*23*10 (серебро)</t>
  </si>
  <si>
    <t>https://www.lavrpack.ru/local/templates/phoenix_v1/images_cache/thumbs/f06ed9fba4bb5c395d7f809d0fc5824e.webp?v=1790830714</t>
  </si>
  <si>
    <t>61e0d6d7-f824-11f0-ab4d-22344d083d2c#c81aa73c-f824-11f0-ab4d-22344d083d2c</t>
  </si>
  <si>
    <t>Пакет "Квадрат", 26*32*12 (бронза)</t>
  </si>
  <si>
    <t>https://www.lavrpack.ru/local/templates/phoenix_v1/images_cache/thumbs/89a313bfb8bfd0ee85ce746c1972674f.webp?v=1790852980</t>
  </si>
  <si>
    <t>61e0d6d7-f824-11f0-ab4d-22344d083d2c#d053861c-f824-11f0-ab4d-22344d083d2c</t>
  </si>
  <si>
    <t>Пакет "Квадрат", 26*32*12 (золото)</t>
  </si>
  <si>
    <t>https://www.lavrpack.ru/local/templates/phoenix_v1/images_cache/thumbs/51c08b95b4d18f93fd963bda1c4d2fa3.webp?v=1790852980</t>
  </si>
  <si>
    <t>61e0d6d7-f824-11f0-ab4d-22344d083d2c#b3a1caa6-f824-11f0-ab4d-22344d083d2c</t>
  </si>
  <si>
    <t>Пакет "Квадрат", 26*32*12 (красный)</t>
  </si>
  <si>
    <t>https://www.lavrpack.ru/local/templates/phoenix_v1/images_cache/thumbs/d42e2327e201172d165f361895d159f5.webp?v=1790852980</t>
  </si>
  <si>
    <t>61e0d6d7-f824-11f0-ab4d-22344d083d2c#ba7c40ec-f824-11f0-ab4d-22344d083d2c</t>
  </si>
  <si>
    <t>Пакет "Квадрат", 26*32*12 (серебро)</t>
  </si>
  <si>
    <t>https://www.lavrpack.ru/local/templates/phoenix_v1/images_cache/thumbs/34fb206cf050aea8f3b4f39b6e2a0c4b.webp?v=1790852980</t>
  </si>
  <si>
    <t>61e0d6d7-f824-11f0-ab4d-22344d083d2c#28a20409-f825-11f0-ab4d-22344d083d2c</t>
  </si>
  <si>
    <t>Пакет "Квадрат", 31*42*12 (бронза)</t>
  </si>
  <si>
    <t>https://www.lavrpack.ru/local/templates/phoenix_v1/images_cache/thumbs/67980557693ccd049f24426ddba9377f.webp?v=1790852980</t>
  </si>
  <si>
    <t>01fafeb1-231a-11ef-a0dd-00e01a6800eb#0bca4a84-231a-11ef-a0dd-00e01a6800eb</t>
  </si>
  <si>
    <t>108041</t>
  </si>
  <si>
    <t>Пакет бумажный (цепь), H15*16*12 см, Белый</t>
  </si>
  <si>
    <t>https://www.lavrpack.ru/local/templates/phoenix_v1/images_cache/thumbs/d41659eacfa041c980d023f6b5208f66.webp?v=1790830714</t>
  </si>
  <si>
    <t>01fafeb1-231a-11ef-a0dd-00e01a6800eb#1329edba-231a-11ef-a0dd-00e01a6800eb</t>
  </si>
  <si>
    <t>Пакет бумажный (цепь), H15*16*12 см, Розовый</t>
  </si>
  <si>
    <t>https://www.lavrpack.ru/local/templates/phoenix_v1/images_cache/thumbs/1dc990c209a7c4f5cbe5b71031ef9a61.webp?v=1790852980</t>
  </si>
  <si>
    <t>f05619bb-173b-11ee-8f7e-00e01a6800eb</t>
  </si>
  <si>
    <t>103223</t>
  </si>
  <si>
    <t>Пакет для букетов, матовый цилиндрический, 36*15*8см, белый</t>
  </si>
  <si>
    <t>https://www.lavrpack.ru/local/templates/phoenix_v1/images_cache/thumbs/b0e1e47ea0bda97eb19526f6d6baa07b.webp?v=1790830714</t>
  </si>
  <si>
    <t>0a664b23-173c-11ee-8f7e-00e01a6800eb</t>
  </si>
  <si>
    <t>103224</t>
  </si>
  <si>
    <t>Пакет для букетов, матовый цилиндрический, 36*15*8см, розовый</t>
  </si>
  <si>
    <t>https://www.lavrpack.ru/local/templates/phoenix_v1/images_cache/thumbs/4cfdddf847177c4dec11672c1d079f04.webp?v=1790830714</t>
  </si>
  <si>
    <t>89b88b1c-4d0a-11f0-ab41-22344d083d2c#9d98ddd3-4d0b-11f0-ab41-22344d083d2c</t>
  </si>
  <si>
    <t>113231</t>
  </si>
  <si>
    <t>Пакет для цветов "Окно", 21х21х21см (крафт)</t>
  </si>
  <si>
    <t>https://www.lavrpack.ru/local/templates/phoenix_v1/images_cache/thumbs/d5a02a4265a131192fc119a0dc66eefc.webp?v=1790852980</t>
  </si>
  <si>
    <t>89b88b1c-4d0a-11f0-ab41-22344d083d2c#96a090f0-4d0b-11f0-ab41-22344d083d2c</t>
  </si>
  <si>
    <t>Пакет для цветов "Окно", 21х21х21см (розовый)</t>
  </si>
  <si>
    <t>https://www.lavrpack.ru/local/templates/phoenix_v1/images_cache/thumbs/29a4f4c25fac8274f372d45ec7edad1c.webp?v=1790852980</t>
  </si>
  <si>
    <t>89b88b1c-4d0a-11f0-ab41-22344d083d2c#0ba4559c-4d0b-11f0-ab41-22344d083d2c</t>
  </si>
  <si>
    <t>Пакет для цветов "Окно", 28х25х18см (белый)</t>
  </si>
  <si>
    <t>https://www.lavrpack.ru/local/templates/phoenix_v1/images_cache/thumbs/f927fbb11d50fd77e37b0fc0d01e16a5.webp?v=1790852980</t>
  </si>
  <si>
    <t>89b88b1c-4d0a-11f0-ab41-22344d083d2c#2488b6ae-4d0b-11f0-ab41-22344d083d2c</t>
  </si>
  <si>
    <t>Пакет для цветов "Окно", 28х25х18см (крафт)</t>
  </si>
  <si>
    <t>https://www.lavrpack.ru/local/templates/phoenix_v1/images_cache/thumbs/c90bd5e99b8ca72966f9570a57f60be3.webp?v=1790852980</t>
  </si>
  <si>
    <t>89b88b1c-4d0a-11f0-ab41-22344d083d2c#17fc6d7a-4d0b-11f0-ab41-22344d083d2c</t>
  </si>
  <si>
    <t>Пакет для цветов "Окно", 28х25х18см (розовый)</t>
  </si>
  <si>
    <t>https://www.lavrpack.ru/local/templates/phoenix_v1/images_cache/thumbs/30daa7dc8498af453e0e10e7b4c19984.webp?v=1790852980</t>
  </si>
  <si>
    <t>89b88b1c-4d0a-11f0-ab41-22344d083d2c#9f639495-4d0a-11f0-ab41-22344d083d2c</t>
  </si>
  <si>
    <t>Пакет для цветов "Окно", 30х20х15см (белый)</t>
  </si>
  <si>
    <t>https://www.lavrpack.ru/local/templates/phoenix_v1/images_cache/thumbs/91d13f92849e58e02dceec83951c8353.webp?v=1790852980</t>
  </si>
  <si>
    <t>89b88b1c-4d0a-11f0-ab41-22344d083d2c#c6f8d06b-4d0a-11f0-ab41-22344d083d2c</t>
  </si>
  <si>
    <t>Пакет для цветов "Окно", 30х20х15см (крафт)</t>
  </si>
  <si>
    <t>https://www.lavrpack.ru/local/templates/phoenix_v1/images_cache/thumbs/68443ff64cb490ebf213741b5de81ee7.webp?v=1790852980</t>
  </si>
  <si>
    <t>89b88b1c-4d0a-11f0-ab41-22344d083d2c#ad3f8d41-4d0a-11f0-ab41-22344d083d2c</t>
  </si>
  <si>
    <t>Пакет для цветов "Окно", 30х20х15см (розовый)</t>
  </si>
  <si>
    <t>https://www.lavrpack.ru/local/templates/phoenix_v1/images_cache/thumbs/12dbbe6ed55131d6a495289ba9c3070d.webp?v=1790852980</t>
  </si>
  <si>
    <t>89b88b1c-4d0a-11f0-ab41-22344d083d2c#49bd0ec8-4d0b-11f0-ab41-22344d083d2c</t>
  </si>
  <si>
    <t>Пакет для цветов "Окно", 31х31х31см (крафт)</t>
  </si>
  <si>
    <t>https://www.lavrpack.ru/local/templates/phoenix_v1/images_cache/thumbs/9aaab46ea7e5b1adcf7dc189672d8fbd.webp?v=1790852980</t>
  </si>
  <si>
    <t>89b88b1c-4d0a-11f0-ab41-22344d083d2c#7a6fa018-4a16-11f1-ab50-22344d083d2c</t>
  </si>
  <si>
    <t>Пакет для цветов "Окно", 35х25х15см (белый)</t>
  </si>
  <si>
    <t>https://www.lavrpack.ru/local/templates/phoenix_v1/images_cache/thumbs/3518282a7ba6cbeaa120a90b7fb043dd.webp?v=1790852980</t>
  </si>
  <si>
    <t>89b88b1c-4d0a-11f0-ab41-22344d083d2c#66222e0f-a8ca-11f0-ab48-22344d083d2c</t>
  </si>
  <si>
    <t>Пакет для цветов "Окно", 35х25х15см (крафт)</t>
  </si>
  <si>
    <t>https://www.lavrpack.ru/local/templates/phoenix_v1/images_cache/thumbs/8fa675d52344e8dd9318716994a17af3.webp?v=1790852980</t>
  </si>
  <si>
    <t>89b88b1c-4d0a-11f0-ab41-22344d083d2c#951672c5-4a16-11f1-ab50-22344d083d2c</t>
  </si>
  <si>
    <t>Пакет для цветов "Окно", 35х25х15см (розовый)</t>
  </si>
  <si>
    <t>https://www.lavrpack.ru/local/templates/phoenix_v1/images_cache/thumbs/449d8f8eeb9bef2648ea74509909e065.webp?v=1790852980</t>
  </si>
  <si>
    <t>89b88b1c-4d0a-11f0-ab41-22344d083d2c#d9ff7655-4d0a-11f0-ab41-22344d083d2c</t>
  </si>
  <si>
    <t>Пакет для цветов "Окно", 37х28х17см (белый)</t>
  </si>
  <si>
    <t>https://www.lavrpack.ru/local/templates/phoenix_v1/images_cache/thumbs/1b64fcd0c3ebd2ecb9b861314ee1bd95.webp?v=1790852980</t>
  </si>
  <si>
    <t>89b88b1c-4d0a-11f0-ab41-22344d083d2c#eceb8528-4d0a-11f0-ab41-22344d083d2c</t>
  </si>
  <si>
    <t>Пакет для цветов "Окно", 37х28х17см (крафт)</t>
  </si>
  <si>
    <t>https://www.lavrpack.ru/local/templates/phoenix_v1/images_cache/thumbs/84106312f1a1bf57c2472dc939bdfb87.webp?v=1790852980</t>
  </si>
  <si>
    <t>89b88b1c-4d0a-11f0-ab41-22344d083d2c#e0978c13-4d0a-11f0-ab41-22344d083d2c</t>
  </si>
  <si>
    <t>Пакет для цветов "Окно", 37х28х17см (розовый)</t>
  </si>
  <si>
    <t>https://www.lavrpack.ru/local/templates/phoenix_v1/images_cache/thumbs/cfc2551674dc96f57ac992fb4a3f51ef.webp?v=1790852980</t>
  </si>
  <si>
    <t>fc3dcfd6-928f-11ee-a8ad-00e01a6800eb#0a5d9a5f-9290-11ee-a8ad-00e01a6800eb</t>
  </si>
  <si>
    <t>105250</t>
  </si>
  <si>
    <t>Пакет конус</t>
  </si>
  <si>
    <t>(30шт/уп.), Китай, кремовый</t>
  </si>
  <si>
    <t>30×10×Н45см</t>
  </si>
  <si>
    <t>https://www.lavrpack.ru/local/templates/phoenix_v1/images_cache/thumbs/9e8b6d491d24fa2f2847f9fd2b583e7d.webp?v=1790830714</t>
  </si>
  <si>
    <t>1dd9e9f7-447c-11ed-8758-00e01a6800eb</t>
  </si>
  <si>
    <t>76063</t>
  </si>
  <si>
    <t>Пакет п/э</t>
  </si>
  <si>
    <t>Россия</t>
  </si>
  <si>
    <t>"Электрон" 42×63см.(15мкр)</t>
  </si>
  <si>
    <t>80a42cd9-7f2c-11ec-b73f-0018e40a3af2</t>
  </si>
  <si>
    <t>60635</t>
  </si>
  <si>
    <t>Пакет подарочный</t>
  </si>
  <si>
    <t>Крафт с ручками, Китай</t>
  </si>
  <si>
    <t>https://www.lavrpack.ru/local/templates/phoenix_v1/images_cache/thumbs/e97a5c73a86013a990aaeade08f51008.webp?v=1790852980</t>
  </si>
  <si>
    <t>58c68ca1-bc66-11ef-ab3b-22344d083d2c#87862be9-bc66-11ef-ab3b-22344d083d2c</t>
  </si>
  <si>
    <t>110811</t>
  </si>
  <si>
    <t>Пакет подарочный "Fashion", 23х10х18см, синий</t>
  </si>
  <si>
    <t>https://www.lavrpack.ru/local/templates/phoenix_v1/images_cache/thumbs/76152c97537e5d33d4f50ece450b4898.webp?v=1790852980</t>
  </si>
  <si>
    <t>58c68ca1-bc66-11ef-ab3b-22344d083d2c#aaaf6653-bc66-11ef-ab3b-22344d083d2c</t>
  </si>
  <si>
    <t>Пакет подарочный "Fashion", 32х11х26см, синий</t>
  </si>
  <si>
    <t>https://www.lavrpack.ru/local/templates/phoenix_v1/images_cache/thumbs/0834fc9883235c364af0b523e0a55e16.webp?v=1790830714</t>
  </si>
  <si>
    <t>4193271d-b697-11ee-baea-00e01a6800eb#71d2eb8a-b697-11ee-baea-00e01a6800eb</t>
  </si>
  <si>
    <t>105684</t>
  </si>
  <si>
    <t>Пакет подарочный 32х11х25cm, Фиолетовый</t>
  </si>
  <si>
    <t>https://www.lavrpack.ru/local/templates/phoenix_v1/images_cache/thumbs/f663d44b7bf85638821188a8e4ee2eec.webp?v=1790830714</t>
  </si>
  <si>
    <t>a18d4e69-76da-11ed-bb4b-00e01a6800eb</t>
  </si>
  <si>
    <t>77683</t>
  </si>
  <si>
    <t>Пакет с пласт.ручками</t>
  </si>
  <si>
    <t>черный</t>
  </si>
  <si>
    <t>"Горошек" 16см×15см×17см</t>
  </si>
  <si>
    <t>https://www.lavrpack.ru/local/templates/phoenix_v1/images_cache/thumbs/bfbc826877f07403fb479454eee2565e.webp?v=1790852980</t>
  </si>
  <si>
    <t>d3dd8454-76da-11ed-bb4b-00e01a6800eb</t>
  </si>
  <si>
    <t>77685</t>
  </si>
  <si>
    <t>белый</t>
  </si>
  <si>
    <t>https://www.lavrpack.ru/local/templates/phoenix_v1/images_cache/thumbs/14cd403eca5943a182ef34ba74e1fe60.webp?v=1790852980</t>
  </si>
  <si>
    <t>Конусы, салфетки, рукава — 17 поз.</t>
  </si>
  <si>
    <t>e1bfc7fa-ed2a-11ef-ab3d-22344d083d2c</t>
  </si>
  <si>
    <t>111358</t>
  </si>
  <si>
    <t>Конус</t>
  </si>
  <si>
    <t>прозр/прозр 20/40 (Н)</t>
  </si>
  <si>
    <t>b9827e91-ed2c-11ef-ab3d-22344d083d2c</t>
  </si>
  <si>
    <t>111359</t>
  </si>
  <si>
    <t>прозр/прозр 25/40 (Н)</t>
  </si>
  <si>
    <t>5bc9e248-ed2d-11ef-ab3d-22344d083d2c</t>
  </si>
  <si>
    <t>111360</t>
  </si>
  <si>
    <t>прозр/прозр 35/40 (Н)</t>
  </si>
  <si>
    <t>89362158-9cd9-11ef-ab3b-22344d083d2c#0ab1f749-9cda-11ef-ab3b-22344d083d2c</t>
  </si>
  <si>
    <t>110375</t>
  </si>
  <si>
    <t>Конус "Градиент" 30*10*45см, Белый</t>
  </si>
  <si>
    <t>https://www.lavrpack.ru/local/templates/phoenix_v1/images_cache/thumbs/8644ef8a99346fc45123456d7e8a1a41.webp?v=1790834852</t>
  </si>
  <si>
    <t>89362158-9cd9-11ef-ab3b-22344d083d2c#04ab634e-9cda-11ef-ab3b-22344d083d2c</t>
  </si>
  <si>
    <t>Конус "Градиент" 30*10*45см, Голубой</t>
  </si>
  <si>
    <t>https://www.lavrpack.ru/local/templates/phoenix_v1/images_cache/thumbs/6617ec9f61353bf5573239d2aa894421.webp?v=1790834852</t>
  </si>
  <si>
    <t>89362158-9cd9-11ef-ab3b-22344d083d2c#22e27de5-9cda-11ef-ab3b-22344d083d2c</t>
  </si>
  <si>
    <t>Конус "Градиент" 30*10*45см, Оранжевый</t>
  </si>
  <si>
    <t>https://www.lavrpack.ru/local/templates/phoenix_v1/images_cache/thumbs/71235875567dd4e72b7b8c256d9b05b0.webp?v=1790834852</t>
  </si>
  <si>
    <t>89362158-9cd9-11ef-ab3b-22344d083d2c#f8a3413c-9cd9-11ef-ab3b-22344d083d2c</t>
  </si>
  <si>
    <t>Конус "Градиент" 30*10*45см, Персик</t>
  </si>
  <si>
    <t>https://www.lavrpack.ru/local/templates/phoenix_v1/images_cache/thumbs/eef743797fa014242a028f391b6b6abb.webp?v=1790852980</t>
  </si>
  <si>
    <t>89362158-9cd9-11ef-ab3b-22344d083d2c#feae824e-9cd9-11ef-ab3b-22344d083d2c</t>
  </si>
  <si>
    <t>Конус "Градиент" 30*10*45см, Розовый</t>
  </si>
  <si>
    <t>https://www.lavrpack.ru/local/templates/phoenix_v1/images_cache/thumbs/42643f8706553a0404ef523a50463c03.webp?v=1790834852</t>
  </si>
  <si>
    <t>89362158-9cd9-11ef-ab3b-22344d083d2c#1cc6cdc7-9cda-11ef-ab3b-22344d083d2c</t>
  </si>
  <si>
    <t>Конус "Градиент" 30*10*45см, Синий</t>
  </si>
  <si>
    <t>https://www.lavrpack.ru/local/templates/phoenix_v1/images_cache/thumbs/c058fb3ecf4ee398760eef8c0034ac41.webp?v=1790834852</t>
  </si>
  <si>
    <t>89362158-9cd9-11ef-ab3b-22344d083d2c#1cc6cc2b-9cda-11ef-ab3b-22344d083d2c</t>
  </si>
  <si>
    <t>Конус "Градиент" 30*10*45см, Тиффани</t>
  </si>
  <si>
    <t>https://www.lavrpack.ru/local/templates/phoenix_v1/images_cache/thumbs/caf51341dc895684ea6b1734f20c11cb.webp?v=1790834852</t>
  </si>
  <si>
    <t>89362158-9cd9-11ef-ab3b-22344d083d2c#10ab4a27-9cda-11ef-ab3b-22344d083d2c</t>
  </si>
  <si>
    <t>Конус "Градиент" 30*10*45см, Черный</t>
  </si>
  <si>
    <t>https://www.lavrpack.ru/local/templates/phoenix_v1/images_cache/thumbs/d9c24b3756fbf76c10ab60295b7bc79a.webp?v=1790834852</t>
  </si>
  <si>
    <t>ff02045f-9ce0-11ef-ab3b-22344d083d2c#2565843f-9ce1-11ef-ab3b-22344d083d2c</t>
  </si>
  <si>
    <t>110383</t>
  </si>
  <si>
    <t>Конус "Love" 14*4,7*45см, Барби</t>
  </si>
  <si>
    <t>https://www.lavrpack.ru/local/templates/phoenix_v1/images_cache/thumbs/c7d91a4a125116b2f10916d2d7b94d70.webp?v=1790834852</t>
  </si>
  <si>
    <t>ff02045f-9ce0-11ef-ab3b-22344d083d2c#0b5a9c90-9ce1-11ef-ab3b-22344d083d2c</t>
  </si>
  <si>
    <t>Конус "Love" 14*4,7*45см, Белый</t>
  </si>
  <si>
    <t>https://www.lavrpack.ru/local/templates/phoenix_v1/images_cache/thumbs/c2b4fa7df6847bdd2f51ffa80a5d1efc.webp?v=1790852980</t>
  </si>
  <si>
    <t>ff02045f-9ce0-11ef-ab3b-22344d083d2c#1f561782-9ce1-11ef-ab3b-22344d083d2c</t>
  </si>
  <si>
    <t>Конус "Love" 14*4,7*45см, Голубой</t>
  </si>
  <si>
    <t>https://www.lavrpack.ru/local/templates/phoenix_v1/images_cache/thumbs/6130a6f106a472ce98da42963a1edcb4.webp?v=1790834852</t>
  </si>
  <si>
    <t>ff02045f-9ce0-11ef-ab3b-22344d083d2c#12f3144a-9ce1-11ef-ab3b-22344d083d2c</t>
  </si>
  <si>
    <t>Конус "Love" 14*4,7*45см, Розовый</t>
  </si>
  <si>
    <t>https://www.lavrpack.ru/local/templates/phoenix_v1/images_cache/thumbs/ad1d5b46ab4577b508c91a2f8718ac35.webp?v=1790834852</t>
  </si>
  <si>
    <t>ff02045f-9ce0-11ef-ab3b-22344d083d2c#191fe198-9ce1-11ef-ab3b-22344d083d2c</t>
  </si>
  <si>
    <t>Конус "Love" 14*4,7*45см, Синий</t>
  </si>
  <si>
    <t>https://www.lavrpack.ru/local/templates/phoenix_v1/images_cache/thumbs/d5e0700a5ddd444eebfbb6a749ec6379.webp?v=1790834852</t>
  </si>
  <si>
    <t>ff02045f-9ce0-11ef-ab3b-22344d083d2c#05315899-9ce1-11ef-ab3b-22344d083d2c</t>
  </si>
  <si>
    <t>Конус "Love" 14*4,7*45см, Черный</t>
  </si>
  <si>
    <t>https://www.lavrpack.ru/local/templates/phoenix_v1/images_cache/thumbs/7275de84e7e498ab6b2fecfccb1ef5d1.webp?v=1790834852</t>
  </si>
  <si>
    <t>Сумочки и пакеты — 16 поз.</t>
  </si>
  <si>
    <t>4b3422c7-9017-11ee-a8ad-00e01a6800eb#6da50bbe-9017-11ee-a8ad-00e01a6800eb</t>
  </si>
  <si>
    <t>105198</t>
  </si>
  <si>
    <t>Конус 12,5*4*45см, Голубой</t>
  </si>
  <si>
    <t>https://www.lavrpack.ru/local/templates/phoenix_v1/images_cache/thumbs/71381fff15b382ba1abc10b8843219a4.webp?v=1790845066</t>
  </si>
  <si>
    <t>4b3422c7-9017-11ee-a8ad-00e01a6800eb#5a0b3733-9017-11ee-a8ad-00e01a6800eb</t>
  </si>
  <si>
    <t>Конус 12,5*4*45см, Светло-серый</t>
  </si>
  <si>
    <t>https://www.lavrpack.ru/local/templates/phoenix_v1/images_cache/thumbs/859ddf8a363fdfc70f61445f758466ee.webp?v=1790845066</t>
  </si>
  <si>
    <t>0cb9dace-7f2b-11ec-b73f-0018e40a3af2</t>
  </si>
  <si>
    <t>45015</t>
  </si>
  <si>
    <t>Конус для цветов(пластик)</t>
  </si>
  <si>
    <t>с ручкой D17см.H50см</t>
  </si>
  <si>
    <t>https://www.lavrpack.ru/local/templates/phoenix_v1/images_cache/thumbs/4e0020b9344d914691c7ef62d0e3ff91.webp?v=1790845065</t>
  </si>
  <si>
    <t>e898a47a-7f2b-11ec-b73f-0018e40a3af2</t>
  </si>
  <si>
    <t>64546</t>
  </si>
  <si>
    <t>матовый 13×10×15см.Красный</t>
  </si>
  <si>
    <t>https://www.lavrpack.ru/local/templates/phoenix_v1/images_cache/thumbs/1401a1ebede607ec597db1eabe94f5c5.webp?v=1790845066</t>
  </si>
  <si>
    <t>18cd6034-7f2f-11ec-b73f-0018e40a3af2</t>
  </si>
  <si>
    <t>64548</t>
  </si>
  <si>
    <t>матовый 13×10×15см.Тиффани</t>
  </si>
  <si>
    <t>https://www.lavrpack.ru/local/templates/phoenix_v1/images_cache/thumbs/906e1cd9374d6f31fc0ad866d8d4ccd5.webp?v=1790800902</t>
  </si>
  <si>
    <t>e818fdcd-7f2c-11ec-b73f-0018e40a3af2</t>
  </si>
  <si>
    <t>64530</t>
  </si>
  <si>
    <t>матовый 13×13×15см.Красный</t>
  </si>
  <si>
    <t>https://www.lavrpack.ru/local/templates/phoenix_v1/images_cache/thumbs/b570a3d36ab7cdc0eb1f85c6a8e2376f.webp?v=1790845066</t>
  </si>
  <si>
    <t>3784496f-7f2c-11ec-b73f-0018e40a3af2</t>
  </si>
  <si>
    <t>64532</t>
  </si>
  <si>
    <t>матовый 13×13×15см.Тиффани</t>
  </si>
  <si>
    <t>https://www.lavrpack.ru/local/templates/phoenix_v1/images_cache/thumbs/a94240330dfd9dd568e30285d7d32551.webp?v=1790845065</t>
  </si>
  <si>
    <t>ee204847-7f2c-11ec-b73f-0018e40a3af2</t>
  </si>
  <si>
    <t>64536</t>
  </si>
  <si>
    <t>матовый 21×11×14см.Тиффани</t>
  </si>
  <si>
    <t>https://www.lavrpack.ru/local/templates/phoenix_v1/images_cache/thumbs/c36fa636bfe27e81aabd8344fe5ad0a4.webp?v=1790845066</t>
  </si>
  <si>
    <t>ee204858-7f2c-11ec-b73f-0018e40a3af2</t>
  </si>
  <si>
    <t>64458</t>
  </si>
  <si>
    <t>"Бордовый"трапеция 13×9,5×15,3см</t>
  </si>
  <si>
    <t>https://www.lavrpack.ru/local/templates/phoenix_v1/images_cache/thumbs/7e5be8ae94d23b609c90fec64369b766.webp?v=1790845066</t>
  </si>
  <si>
    <t>ee20485b-7f2c-11ec-b73f-0018e40a3af2</t>
  </si>
  <si>
    <t>64457</t>
  </si>
  <si>
    <t>"Бордовый"трапеция 17×11,5×20см</t>
  </si>
  <si>
    <t>https://www.lavrpack.ru/local/templates/phoenix_v1/images_cache/thumbs/589411970d61db6e94d60bedeb534c11.webp?v=1790845066</t>
  </si>
  <si>
    <t>f590fc79-a8f4-11f0-ab48-22344d083d2c#9ea42894-4d32-11f1-ab50-22344d083d2c</t>
  </si>
  <si>
    <t>115390</t>
  </si>
  <si>
    <t>"Горошек" 23×18×24см</t>
  </si>
  <si>
    <t>https://www.lavrpack.ru/local/templates/phoenix_v1/images_cache/thumbs/02b1bbb44359b1cd2ae6d2de368dc8e1.webp?v=1790800902</t>
  </si>
  <si>
    <t>f590fc79-a8f4-11f0-ab48-22344d083d2c#0a33ae00-a8f5-11f0-ab48-22344d083d2c</t>
  </si>
  <si>
    <t>https://www.lavrpack.ru/local/templates/phoenix_v1/images_cache/thumbs/c5c5209fd79f57896f92238970996d84.webp?v=1790800902</t>
  </si>
  <si>
    <t>b7b0fad5-76da-11ed-bb4b-00e01a6800eb</t>
  </si>
  <si>
    <t>77684</t>
  </si>
  <si>
    <t>"Горошек" 24см×12см×26см</t>
  </si>
  <si>
    <t>https://www.lavrpack.ru/local/templates/phoenix_v1/images_cache/thumbs/26c77b3c27754c0baf14607a5fbe8f7f.webp?v=1790845065</t>
  </si>
  <si>
    <t>052378f2-a8f1-11f0-ab48-22344d083d2c#19339c55-a8f1-11f0-ab48-22344d083d2c</t>
  </si>
  <si>
    <t>115389</t>
  </si>
  <si>
    <t>"Горошек" 26×13×35см</t>
  </si>
  <si>
    <t>https://www.lavrpack.ru/local/templates/phoenix_v1/images_cache/thumbs/c2ff577ec782fa4f044c685b6db152c1.webp?v=1790800902</t>
  </si>
  <si>
    <t>32eb783a-b6bc-11ee-baea-00e01a6800eb#49ff8fa2-b6bc-11ee-baea-00e01a6800eb</t>
  </si>
  <si>
    <t>105699</t>
  </si>
  <si>
    <t>"Горошек" 29×15×42.5см</t>
  </si>
  <si>
    <t>https://www.lavrpack.ru/local/templates/phoenix_v1/images_cache/thumbs/4967932053d7d55a3965032b9a8787b0.webp?v=1790800902</t>
  </si>
  <si>
    <t>a4314b41-7f2d-11ec-b73f-0018e40a3af2</t>
  </si>
  <si>
    <t>66232</t>
  </si>
  <si>
    <t>"Зеленый"трапеция 17×12×20см</t>
  </si>
  <si>
    <t>https://www.lavrpack.ru/local/templates/phoenix_v1/images_cache/thumbs/47cae141e62cab1091b43ff2e010a3e3.webp?v=1790845065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</si>
  <si>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</si>
  <si>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</si>
  <si>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</si>
  <si>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</si>
  <si>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</si>
  <si>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</si>
  <si>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</si>
  <si>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</si>
  <si>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</si>
  <si>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</si>
  <si>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</si>
  <si>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</si>
  <si>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19:39</t>
  </si>
  <si>
    <t>Тип цены: опт</t>
  </si>
  <si>
    <t>Раздел: Сумочки и пакеты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</si>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</sst>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708adeed57a494e8f9bb2add27c703c6.jpg"/><Relationship Id="rId3" Type="http://schemas.openxmlformats.org/officeDocument/2006/relationships/image" Target="../media/06489598a592673285770924ac82b2a5.jpg"/><Relationship Id="rId4" Type="http://schemas.openxmlformats.org/officeDocument/2006/relationships/image" Target="../media/6d5ce3741f087877c8b69ae735716fc9.jpg"/><Relationship Id="rId5" Type="http://schemas.openxmlformats.org/officeDocument/2006/relationships/image" Target="../media/f997aa1fbc13f5da7e3c934100fd7e14.jpg"/><Relationship Id="rId6" Type="http://schemas.openxmlformats.org/officeDocument/2006/relationships/image" Target="../media/b21fb63ee95cdc9b232bf2db3e1517e3.jpg"/><Relationship Id="rId7" Type="http://schemas.openxmlformats.org/officeDocument/2006/relationships/image" Target="../media/034dbb9d0c8128baadfdb58f71b9a90b.jpg"/><Relationship Id="rId8" Type="http://schemas.openxmlformats.org/officeDocument/2006/relationships/image" Target="../media/6d5ce3741f087877c8b69ae735716fc9.jpg"/><Relationship Id="rId9" Type="http://schemas.openxmlformats.org/officeDocument/2006/relationships/image" Target="../media/6d5ce3741f087877c8b69ae735716fc9.jpg"/><Relationship Id="rId10" Type="http://schemas.openxmlformats.org/officeDocument/2006/relationships/image" Target="../media/6d5ce3741f087877c8b69ae735716fc9.jpg"/><Relationship Id="rId11" Type="http://schemas.openxmlformats.org/officeDocument/2006/relationships/image" Target="../media/88728172887ea3768a688060b84174c3.jpg"/><Relationship Id="rId12" Type="http://schemas.openxmlformats.org/officeDocument/2006/relationships/image" Target="../media/6d5ce3741f087877c8b69ae735716fc9.jpg"/><Relationship Id="rId13" Type="http://schemas.openxmlformats.org/officeDocument/2006/relationships/image" Target="../media/6d5ce3741f087877c8b69ae735716fc9.jpg"/><Relationship Id="rId14" Type="http://schemas.openxmlformats.org/officeDocument/2006/relationships/image" Target="../media/e182d0a59fa9c9302a028487d7f64392.jpg"/><Relationship Id="rId15" Type="http://schemas.openxmlformats.org/officeDocument/2006/relationships/image" Target="../media/f3e9c20b3b868179f3538aa3362219ea.jpg"/><Relationship Id="rId16" Type="http://schemas.openxmlformats.org/officeDocument/2006/relationships/image" Target="../media/667146f3809b7129ef718cab07f96492.jpg"/><Relationship Id="rId17" Type="http://schemas.openxmlformats.org/officeDocument/2006/relationships/image" Target="../media/1a86358ca6ea62745a4ac5865ec11787.jpg"/><Relationship Id="rId18" Type="http://schemas.openxmlformats.org/officeDocument/2006/relationships/image" Target="../media/a1cba08ea6a8634d4de1f649baa4f9d2.jpg"/><Relationship Id="rId19" Type="http://schemas.openxmlformats.org/officeDocument/2006/relationships/image" Target="../media/12315539c3962a051510aa3a65c6f6b3.jpg"/><Relationship Id="rId20" Type="http://schemas.openxmlformats.org/officeDocument/2006/relationships/image" Target="../media/0497093f5bdccd1a2544e3e9daf2a271.jpg"/><Relationship Id="rId21" Type="http://schemas.openxmlformats.org/officeDocument/2006/relationships/image" Target="../media/214337ae86780a57565168c98fb9ad39.jpg"/><Relationship Id="rId22" Type="http://schemas.openxmlformats.org/officeDocument/2006/relationships/image" Target="../media/772f108c193f29b72402ec07959264db.jpg"/><Relationship Id="rId23" Type="http://schemas.openxmlformats.org/officeDocument/2006/relationships/image" Target="../media/068af647910ee78e8ce009aba5f883e5.jpg"/><Relationship Id="rId24" Type="http://schemas.openxmlformats.org/officeDocument/2006/relationships/image" Target="../media/288c92216688f1fce086d649eb3fa265.jpg"/><Relationship Id="rId25" Type="http://schemas.openxmlformats.org/officeDocument/2006/relationships/image" Target="../media/f928d2dfc1cc2545943bda6c6cf598c8.jpg"/><Relationship Id="rId26" Type="http://schemas.openxmlformats.org/officeDocument/2006/relationships/image" Target="../media/0ceef2514b8c546ab139d9ae605c2f8f.jpg"/><Relationship Id="rId27" Type="http://schemas.openxmlformats.org/officeDocument/2006/relationships/image" Target="../media/f5c28c1c5dea037f60cbade928b124e5.jpg"/><Relationship Id="rId28" Type="http://schemas.openxmlformats.org/officeDocument/2006/relationships/image" Target="../media/3de9884f692943a3631108d59ab46a5a.jpg"/><Relationship Id="rId29" Type="http://schemas.openxmlformats.org/officeDocument/2006/relationships/image" Target="../media/877211a7140e209fb4c4147f7388e855.jpg"/><Relationship Id="rId30" Type="http://schemas.openxmlformats.org/officeDocument/2006/relationships/image" Target="../media/6d5ce3741f087877c8b69ae735716fc9.jpg"/><Relationship Id="rId31" Type="http://schemas.openxmlformats.org/officeDocument/2006/relationships/image" Target="../media/6d5ce3741f087877c8b69ae735716fc9.jpg"/><Relationship Id="rId32" Type="http://schemas.openxmlformats.org/officeDocument/2006/relationships/image" Target="../media/0adf78fad513bf6165f6d5b8e6fc7753.jpg"/><Relationship Id="rId33" Type="http://schemas.openxmlformats.org/officeDocument/2006/relationships/image" Target="../media/6d5ce3741f087877c8b69ae735716fc9.jpg"/><Relationship Id="rId34" Type="http://schemas.openxmlformats.org/officeDocument/2006/relationships/image" Target="../media/6d5ce3741f087877c8b69ae735716fc9.jpg"/><Relationship Id="rId35" Type="http://schemas.openxmlformats.org/officeDocument/2006/relationships/image" Target="../media/6d5ce3741f087877c8b69ae735716fc9.jpg"/><Relationship Id="rId36" Type="http://schemas.openxmlformats.org/officeDocument/2006/relationships/image" Target="../media/6d5ce3741f087877c8b69ae735716fc9.jpg"/><Relationship Id="rId37" Type="http://schemas.openxmlformats.org/officeDocument/2006/relationships/image" Target="../media/668ba34c6a1cce38ac593a392f902af9.jpg"/><Relationship Id="rId38" Type="http://schemas.openxmlformats.org/officeDocument/2006/relationships/image" Target="../media/344a59a67aaab6e0d0bfbbf57dc5b3ad.jpg"/><Relationship Id="rId39" Type="http://schemas.openxmlformats.org/officeDocument/2006/relationships/image" Target="../media/fd6355948dad7e6b4c2035908673796b.jpg"/><Relationship Id="rId40" Type="http://schemas.openxmlformats.org/officeDocument/2006/relationships/image" Target="../media/6ba2638a37106d24bb4471534f39e9a9.jpg"/><Relationship Id="rId41" Type="http://schemas.openxmlformats.org/officeDocument/2006/relationships/image" Target="../media/64683795c0ab8d16d8a9aa5a1db6dd3f.jpg"/><Relationship Id="rId42" Type="http://schemas.openxmlformats.org/officeDocument/2006/relationships/image" Target="../media/b6386ab5b772dab0889827a199489c72.jpg"/><Relationship Id="rId43" Type="http://schemas.openxmlformats.org/officeDocument/2006/relationships/image" Target="../media/b7e0e2caa7853fae38c1b2f201ac6812.jpg"/><Relationship Id="rId44" Type="http://schemas.openxmlformats.org/officeDocument/2006/relationships/image" Target="../media/9d46c74b45ab7911b9a8303a0b0ab0f6.jpg"/><Relationship Id="rId45" Type="http://schemas.openxmlformats.org/officeDocument/2006/relationships/image" Target="../media/ae12983b13d92c0918986c5419814753.jpg"/><Relationship Id="rId46" Type="http://schemas.openxmlformats.org/officeDocument/2006/relationships/image" Target="../media/05e2e1a2f171c1b86bc7abc8c663e920.jpg"/><Relationship Id="rId47" Type="http://schemas.openxmlformats.org/officeDocument/2006/relationships/image" Target="../media/2df3c1cf278953171823a0f546cbe25d.jpg"/><Relationship Id="rId48" Type="http://schemas.openxmlformats.org/officeDocument/2006/relationships/image" Target="../media/0888b22f0e4b6a1ceb0cb14e105b49cc.jpg"/><Relationship Id="rId49" Type="http://schemas.openxmlformats.org/officeDocument/2006/relationships/image" Target="../media/4fd72c8fe59568ed1a6177e21f45ed03.jpg"/><Relationship Id="rId50" Type="http://schemas.openxmlformats.org/officeDocument/2006/relationships/image" Target="../media/68abb3e3ee3ec5267e6d1af75c034921.jpg"/><Relationship Id="rId51" Type="http://schemas.openxmlformats.org/officeDocument/2006/relationships/image" Target="../media/00c95009711eccbef59053f27b570008.jpg"/><Relationship Id="rId52" Type="http://schemas.openxmlformats.org/officeDocument/2006/relationships/image" Target="../media/c00356abfe647a7ff16bbd188e4a9bfa.jpg"/><Relationship Id="rId53" Type="http://schemas.openxmlformats.org/officeDocument/2006/relationships/image" Target="../media/1b84975d8338ac29b870d5fa7c46e1c9.jpg"/><Relationship Id="rId54" Type="http://schemas.openxmlformats.org/officeDocument/2006/relationships/image" Target="../media/c671b26b42aed0863a2c64bbb5d37c41.jpg"/><Relationship Id="rId55" Type="http://schemas.openxmlformats.org/officeDocument/2006/relationships/image" Target="../media/a5987cfdf8bb59935308e51a01a20212.jpg"/><Relationship Id="rId56" Type="http://schemas.openxmlformats.org/officeDocument/2006/relationships/image" Target="../media/322c9f1dfc6ff26be44df7eeb26e3644.jpg"/><Relationship Id="rId57" Type="http://schemas.openxmlformats.org/officeDocument/2006/relationships/image" Target="../media/de796a3ab6f60832da6230b3e8d742c2.jpg"/><Relationship Id="rId58" Type="http://schemas.openxmlformats.org/officeDocument/2006/relationships/image" Target="../media/36e1dd5b34be63402dd040aea30bf121.jpg"/><Relationship Id="rId59" Type="http://schemas.openxmlformats.org/officeDocument/2006/relationships/image" Target="../media/37eab6aa69db153e58ab14c58fc716b9.jpg"/><Relationship Id="rId60" Type="http://schemas.openxmlformats.org/officeDocument/2006/relationships/image" Target="../media/5b02b3d858cf4004cf70848cd208bd82.jpg"/><Relationship Id="rId61" Type="http://schemas.openxmlformats.org/officeDocument/2006/relationships/image" Target="../media/da1f17b19e21de3ed6d46a6620f3bae6.jpg"/><Relationship Id="rId62" Type="http://schemas.openxmlformats.org/officeDocument/2006/relationships/image" Target="../media/a1ab635736b52f73866f4ed3f6f55d6d.jpg"/><Relationship Id="rId63" Type="http://schemas.openxmlformats.org/officeDocument/2006/relationships/image" Target="../media/9147d88f013bffbd262fb40f1bb0d975.jpg"/><Relationship Id="rId64" Type="http://schemas.openxmlformats.org/officeDocument/2006/relationships/image" Target="../media/28c76e83949448d0f208420a53fc183b.jpg"/><Relationship Id="rId65" Type="http://schemas.openxmlformats.org/officeDocument/2006/relationships/image" Target="../media/1b9c074edbb71425e380d31a565518e1.jpg"/><Relationship Id="rId66" Type="http://schemas.openxmlformats.org/officeDocument/2006/relationships/image" Target="../media/a7bbe1af4b33ac6cefd25ed7a17f3f2f.jpg"/><Relationship Id="rId67" Type="http://schemas.openxmlformats.org/officeDocument/2006/relationships/image" Target="../media/438e6d60a74aee37321be9c6113a5e32.jpg"/><Relationship Id="rId68" Type="http://schemas.openxmlformats.org/officeDocument/2006/relationships/image" Target="../media/4ea67e80bf5949b15fc5ab86085bc05c.jpg"/><Relationship Id="rId69" Type="http://schemas.openxmlformats.org/officeDocument/2006/relationships/image" Target="../media/f245afd1b274f939e1b962f9b24f17c6.jpg"/><Relationship Id="rId70" Type="http://schemas.openxmlformats.org/officeDocument/2006/relationships/image" Target="../media/0b36f597203617c11d6f5a0bc71faf5c.jpg"/><Relationship Id="rId71" Type="http://schemas.openxmlformats.org/officeDocument/2006/relationships/image" Target="../media/6b5f1a5b20d22dc234a169c7e28b937f.jpg"/><Relationship Id="rId72" Type="http://schemas.openxmlformats.org/officeDocument/2006/relationships/image" Target="../media/c59bf52a4e1c9d13b9e6e3ffae8136fb.jpg"/><Relationship Id="rId73" Type="http://schemas.openxmlformats.org/officeDocument/2006/relationships/image" Target="../media/80134f15979ec489966ab901985b9dba.jpg"/><Relationship Id="rId74" Type="http://schemas.openxmlformats.org/officeDocument/2006/relationships/image" Target="../media/ca4d440df2204fd656a8ca769d12b4d0.jpg"/><Relationship Id="rId75" Type="http://schemas.openxmlformats.org/officeDocument/2006/relationships/image" Target="../media/bb9f7b4208e9ba0158a71c3ba79ae2e5.jpg"/><Relationship Id="rId76" Type="http://schemas.openxmlformats.org/officeDocument/2006/relationships/image" Target="../media/80331cfc90a2df86bc8f725277d7aabc.jpg"/><Relationship Id="rId77" Type="http://schemas.openxmlformats.org/officeDocument/2006/relationships/image" Target="../media/2efb8b11e4d375f0344064675f56aaa4.jpg"/><Relationship Id="rId78" Type="http://schemas.openxmlformats.org/officeDocument/2006/relationships/image" Target="../media/0de1062b201d9178d56d9c7baa4b6d20.jpg"/><Relationship Id="rId79" Type="http://schemas.openxmlformats.org/officeDocument/2006/relationships/image" Target="../media/48fd1897f1f031c96d570fe49de1b543.jpg"/><Relationship Id="rId80" Type="http://schemas.openxmlformats.org/officeDocument/2006/relationships/image" Target="../media/5e47f1dc50a635c9bf17b03d075d4370.jpg"/><Relationship Id="rId81" Type="http://schemas.openxmlformats.org/officeDocument/2006/relationships/image" Target="../media/f84316c68adae16c998d9c5d9a2ec34b.jpg"/><Relationship Id="rId82" Type="http://schemas.openxmlformats.org/officeDocument/2006/relationships/image" Target="../media/e846a1ed1192fcff90cada6202c8dad9.jpg"/><Relationship Id="rId83" Type="http://schemas.openxmlformats.org/officeDocument/2006/relationships/image" Target="../media/986774901f663790481a9a10af624dae.jpg"/><Relationship Id="rId84" Type="http://schemas.openxmlformats.org/officeDocument/2006/relationships/image" Target="../media/e8b246b30c0220b3de932e883168d75d.jpg"/><Relationship Id="rId85" Type="http://schemas.openxmlformats.org/officeDocument/2006/relationships/image" Target="../media/ceb77fd06e585e84c8493959eca8f26f.jpg"/><Relationship Id="rId86" Type="http://schemas.openxmlformats.org/officeDocument/2006/relationships/image" Target="../media/f91a9106e20b8ee8d8f6921669c590c8.jpg"/><Relationship Id="rId87" Type="http://schemas.openxmlformats.org/officeDocument/2006/relationships/image" Target="../media/c9e32c362ac7b44d006f2aef5542b558.jpg"/><Relationship Id="rId88" Type="http://schemas.openxmlformats.org/officeDocument/2006/relationships/image" Target="../media/ce60ac800de5235ffcbe721dde73d289.jpg"/><Relationship Id="rId89" Type="http://schemas.openxmlformats.org/officeDocument/2006/relationships/image" Target="../media/ce4a314b3e08a7e2277e5421effc4fd7.jpg"/><Relationship Id="rId90" Type="http://schemas.openxmlformats.org/officeDocument/2006/relationships/image" Target="../media/cd4adc63a52d70b9e86a2c9f11a93030.jpg"/><Relationship Id="rId91" Type="http://schemas.openxmlformats.org/officeDocument/2006/relationships/image" Target="../media/c57bb31c7c00b255d829a66079882386.jpg"/><Relationship Id="rId92" Type="http://schemas.openxmlformats.org/officeDocument/2006/relationships/image" Target="../media/6a7b5df804ed4e8f46324ff51ee15dd0.jpg"/><Relationship Id="rId93" Type="http://schemas.openxmlformats.org/officeDocument/2006/relationships/image" Target="../media/2d022104eb38cbbfe2a4cd5825779046.jpg"/><Relationship Id="rId94" Type="http://schemas.openxmlformats.org/officeDocument/2006/relationships/image" Target="../media/5f9c52f35202dca8ea1691b01c653ebd.jpg"/><Relationship Id="rId95" Type="http://schemas.openxmlformats.org/officeDocument/2006/relationships/image" Target="../media/273c77b8253eb41e7972129a53badd67.jpg"/><Relationship Id="rId96" Type="http://schemas.openxmlformats.org/officeDocument/2006/relationships/image" Target="../media/c7c3bc362edef221064f50f89d2c29ab.jpg"/><Relationship Id="rId97" Type="http://schemas.openxmlformats.org/officeDocument/2006/relationships/image" Target="../media/9c86630a85e41e5408beb514b3bd8e59.jpg"/><Relationship Id="rId98" Type="http://schemas.openxmlformats.org/officeDocument/2006/relationships/image" Target="../media/67be7d491ce37fcf74d4ec9b8a4279d0.jpg"/><Relationship Id="rId99" Type="http://schemas.openxmlformats.org/officeDocument/2006/relationships/image" Target="../media/5e1be0d3516b9f9027cf2b3708e47df6.jpg"/><Relationship Id="rId100" Type="http://schemas.openxmlformats.org/officeDocument/2006/relationships/image" Target="../media/570fb1a8e4bcef3c7790675065f8e84c.jpg"/><Relationship Id="rId101" Type="http://schemas.openxmlformats.org/officeDocument/2006/relationships/image" Target="../media/d390eb35d08591f8c1d6190a8511c6d0.jpg"/><Relationship Id="rId102" Type="http://schemas.openxmlformats.org/officeDocument/2006/relationships/image" Target="../media/d12e5f822e1e01f1a0124cbc7f073c6e.jpg"/><Relationship Id="rId103" Type="http://schemas.openxmlformats.org/officeDocument/2006/relationships/image" Target="../media/4cc2c7ce2d6e6cb3cffffd0b18870caf.jpg"/><Relationship Id="rId104" Type="http://schemas.openxmlformats.org/officeDocument/2006/relationships/image" Target="../media/40bfaa8ab6e3a43e1475e90b1c5b905d.jpg"/><Relationship Id="rId105" Type="http://schemas.openxmlformats.org/officeDocument/2006/relationships/image" Target="../media/08bce67b8407b8b7b84dc792a7258973.jpg"/><Relationship Id="rId106" Type="http://schemas.openxmlformats.org/officeDocument/2006/relationships/image" Target="../media/d398d8b7f4a291791545c50e686696f8.jpg"/><Relationship Id="rId107" Type="http://schemas.openxmlformats.org/officeDocument/2006/relationships/image" Target="../media/845463c0d55a96bea23338b9eebf78f5.jpg"/><Relationship Id="rId108" Type="http://schemas.openxmlformats.org/officeDocument/2006/relationships/image" Target="../media/371169d891e14da6cd55182074e74523.jpg"/><Relationship Id="rId109" Type="http://schemas.openxmlformats.org/officeDocument/2006/relationships/image" Target="../media/41e2df93dafd84dfa5c0813772ae7ba7.jpg"/><Relationship Id="rId110" Type="http://schemas.openxmlformats.org/officeDocument/2006/relationships/image" Target="../media/866a0ba91eb20f8adc827b016da28f84.jpg"/><Relationship Id="rId111" Type="http://schemas.openxmlformats.org/officeDocument/2006/relationships/image" Target="../media/f5db1d44a34821484d3715e4d0907fc6.jpg"/><Relationship Id="rId112" Type="http://schemas.openxmlformats.org/officeDocument/2006/relationships/image" Target="../media/d2d36271bdb8fd3ee311cd0e24fe07cd.jpg"/><Relationship Id="rId113" Type="http://schemas.openxmlformats.org/officeDocument/2006/relationships/image" Target="../media/6bdd1c521a9c75f2b2a82f8ff3fcd4a8.jpg"/><Relationship Id="rId114" Type="http://schemas.openxmlformats.org/officeDocument/2006/relationships/image" Target="../media/521130e9d7115e834722260c5ac05b2d.jpg"/><Relationship Id="rId115" Type="http://schemas.openxmlformats.org/officeDocument/2006/relationships/image" Target="../media/ba404a9dc9377d97bf51afee18d4b1d6.jpg"/><Relationship Id="rId116" Type="http://schemas.openxmlformats.org/officeDocument/2006/relationships/image" Target="../media/3d0fabc1551aba6491c4047b5a1cefa2.jpg"/><Relationship Id="rId117" Type="http://schemas.openxmlformats.org/officeDocument/2006/relationships/image" Target="../media/979e497350f2cc34647be3f5c128c442.jpg"/><Relationship Id="rId118" Type="http://schemas.openxmlformats.org/officeDocument/2006/relationships/image" Target="../media/b355f75aae79d870d0417b5c50a2bc04.jpg"/><Relationship Id="rId119" Type="http://schemas.openxmlformats.org/officeDocument/2006/relationships/image" Target="../media/e2f9adfe255eb90e1e7409b03895c7b9.jpg"/><Relationship Id="rId120" Type="http://schemas.openxmlformats.org/officeDocument/2006/relationships/image" Target="../media/ebc4826e6989b3b2b56844059185a1f7.jpg"/><Relationship Id="rId121" Type="http://schemas.openxmlformats.org/officeDocument/2006/relationships/image" Target="../media/536876d0fa8edc81b297e18968576d58.jpg"/><Relationship Id="rId122" Type="http://schemas.openxmlformats.org/officeDocument/2006/relationships/image" Target="../media/4fe0146dbfc3c628b67d02a824866edc.jpg"/><Relationship Id="rId123" Type="http://schemas.openxmlformats.org/officeDocument/2006/relationships/image" Target="../media/fa30862262c60117d7e2f7ba87a62ac9.jpg"/><Relationship Id="rId124" Type="http://schemas.openxmlformats.org/officeDocument/2006/relationships/image" Target="../media/16f0bd7e4b05c4de2aa53121683e07fd.jpg"/><Relationship Id="rId125" Type="http://schemas.openxmlformats.org/officeDocument/2006/relationships/image" Target="../media/902cce0da057e490b7f57a8beb2f4330.jpg"/><Relationship Id="rId126" Type="http://schemas.openxmlformats.org/officeDocument/2006/relationships/image" Target="../media/11675e66e8974171a0e4c302b71f7174.jpg"/><Relationship Id="rId127" Type="http://schemas.openxmlformats.org/officeDocument/2006/relationships/image" Target="../media/f9f637a7ef32d432fa5860bcd13fa8a2.jpg"/><Relationship Id="rId128" Type="http://schemas.openxmlformats.org/officeDocument/2006/relationships/image" Target="../media/c1f614387552fe0ca1ccba940526b56f.jpg"/><Relationship Id="rId129" Type="http://schemas.openxmlformats.org/officeDocument/2006/relationships/image" Target="../media/edcbe2e70878717c3d541eb556411be9.jpg"/><Relationship Id="rId130" Type="http://schemas.openxmlformats.org/officeDocument/2006/relationships/image" Target="../media/a1c3baf721d11dfedf2ae926f06a6ee4.jpg"/><Relationship Id="rId131" Type="http://schemas.openxmlformats.org/officeDocument/2006/relationships/image" Target="../media/f5ba4f469015c3a3cde57b66ab696384.jpg"/><Relationship Id="rId132" Type="http://schemas.openxmlformats.org/officeDocument/2006/relationships/image" Target="../media/3dc3c34337aecaf743359c82e3a8d0ef.jpg"/><Relationship Id="rId133" Type="http://schemas.openxmlformats.org/officeDocument/2006/relationships/image" Target="../media/0d74cbe6564a92a93b013343770f6cb0.jpg"/><Relationship Id="rId134" Type="http://schemas.openxmlformats.org/officeDocument/2006/relationships/image" Target="../media/abd2bb5b1f28f29682382125f9df56d1.jpg"/><Relationship Id="rId135" Type="http://schemas.openxmlformats.org/officeDocument/2006/relationships/image" Target="../media/2397e5bc9610c4ab293ab652e2a05ee5.jpg"/><Relationship Id="rId136" Type="http://schemas.openxmlformats.org/officeDocument/2006/relationships/image" Target="../media/2600183a295bfcee1e9b20b0e4d54ec1.jpg"/><Relationship Id="rId137" Type="http://schemas.openxmlformats.org/officeDocument/2006/relationships/image" Target="../media/46153174dd35625742bf4f6a16d1adac.jpg"/><Relationship Id="rId138" Type="http://schemas.openxmlformats.org/officeDocument/2006/relationships/image" Target="../media/e4d11be4f645526d1de9dc6bfdbb532d.jpg"/><Relationship Id="rId139" Type="http://schemas.openxmlformats.org/officeDocument/2006/relationships/image" Target="../media/9e2de3a37c4f58e01bfa20b2466cfa2a.jpg"/><Relationship Id="rId140" Type="http://schemas.openxmlformats.org/officeDocument/2006/relationships/image" Target="../media/4ce7ca1a98a35acbe15d07296f717079.jpg"/><Relationship Id="rId141" Type="http://schemas.openxmlformats.org/officeDocument/2006/relationships/image" Target="../media/d3bf124a8c6617629ae1ec81728e3bf9.jpg"/><Relationship Id="rId142" Type="http://schemas.openxmlformats.org/officeDocument/2006/relationships/image" Target="../media/590ae43a77290db683f9ecb6f2bbbd28.jpg"/><Relationship Id="rId143" Type="http://schemas.openxmlformats.org/officeDocument/2006/relationships/image" Target="../media/261ff1ba7388f82c32074d3aa2bfd365.jpg"/><Relationship Id="rId144" Type="http://schemas.openxmlformats.org/officeDocument/2006/relationships/image" Target="../media/63edd8f35ab25e8589463d4e5e201bac.jpg"/><Relationship Id="rId145" Type="http://schemas.openxmlformats.org/officeDocument/2006/relationships/image" Target="../media/7af346ff86f082c2d09365be2161eab3.jpg"/><Relationship Id="rId146" Type="http://schemas.openxmlformats.org/officeDocument/2006/relationships/image" Target="../media/013f69d73f3f22f82b646b4640eecfdd.jpg"/><Relationship Id="rId147" Type="http://schemas.openxmlformats.org/officeDocument/2006/relationships/image" Target="../media/2b4be745661222517b2135f2a7a6569d.jpg"/><Relationship Id="rId148" Type="http://schemas.openxmlformats.org/officeDocument/2006/relationships/image" Target="../media/a0e6f16839fc3247a8327108683cc89c.jpg"/><Relationship Id="rId149" Type="http://schemas.openxmlformats.org/officeDocument/2006/relationships/image" Target="../media/eef749fe386b308d6dc4036b39b5ddde.jpg"/><Relationship Id="rId150" Type="http://schemas.openxmlformats.org/officeDocument/2006/relationships/image" Target="../media/f6346ee54483ff29ff2e60ff4bef0cfa.jpg"/><Relationship Id="rId151" Type="http://schemas.openxmlformats.org/officeDocument/2006/relationships/image" Target="../media/7c598d4482d754a8a24bd08c90e767fc.jpg"/><Relationship Id="rId152" Type="http://schemas.openxmlformats.org/officeDocument/2006/relationships/image" Target="../media/28e63bde1e169ba649287d689d21186e.jpg"/><Relationship Id="rId153" Type="http://schemas.openxmlformats.org/officeDocument/2006/relationships/image" Target="../media/33801326ec6dd8510b45e7f987b97ab7.jpg"/><Relationship Id="rId154" Type="http://schemas.openxmlformats.org/officeDocument/2006/relationships/image" Target="../media/d7aa49a1517dfcd5d5916f4cafba01db.jpg"/><Relationship Id="rId155" Type="http://schemas.openxmlformats.org/officeDocument/2006/relationships/image" Target="../media/60f88ef83b6b7549a46308c1bb1da65c.jpg"/><Relationship Id="rId156" Type="http://schemas.openxmlformats.org/officeDocument/2006/relationships/image" Target="../media/9b058da96a446259d8dbd1032abac39b.jpg"/><Relationship Id="rId157" Type="http://schemas.openxmlformats.org/officeDocument/2006/relationships/image" Target="../media/3628bb11c28b3f39faadeec731ffc9d5.jpg"/><Relationship Id="rId158" Type="http://schemas.openxmlformats.org/officeDocument/2006/relationships/image" Target="../media/85391cde3ca8f13956fb5a9f32e7b0a4.jpg"/><Relationship Id="rId159" Type="http://schemas.openxmlformats.org/officeDocument/2006/relationships/image" Target="../media/5819a1ae9ae7604e0c36ddea2b5bffce.jpg"/><Relationship Id="rId160" Type="http://schemas.openxmlformats.org/officeDocument/2006/relationships/image" Target="../media/458c68a0e76ee1991875b40a60a3fbb9.jpg"/><Relationship Id="rId161" Type="http://schemas.openxmlformats.org/officeDocument/2006/relationships/image" Target="../media/b77743759cbc1265ae1f14efb68ff436.jpg"/><Relationship Id="rId162" Type="http://schemas.openxmlformats.org/officeDocument/2006/relationships/image" Target="../media/d6c1633d03b509dfe34720e63a986bf8.jpg"/><Relationship Id="rId163" Type="http://schemas.openxmlformats.org/officeDocument/2006/relationships/image" Target="../media/a6c7e04be3a6f257e395158e21f3d6bf.jpg"/><Relationship Id="rId164" Type="http://schemas.openxmlformats.org/officeDocument/2006/relationships/image" Target="../media/214cf00552632c22128daeafee4a0daa.jpg"/><Relationship Id="rId165" Type="http://schemas.openxmlformats.org/officeDocument/2006/relationships/image" Target="../media/7fc4eb3f2e2d86e7b858daf93b1774eb.jpg"/><Relationship Id="rId166" Type="http://schemas.openxmlformats.org/officeDocument/2006/relationships/image" Target="../media/7cab884c936c082977e86cd4e9613ed0.jpg"/><Relationship Id="rId167" Type="http://schemas.openxmlformats.org/officeDocument/2006/relationships/image" Target="../media/f62102fc343640d479e003ecb46ec0a5.jpg"/><Relationship Id="rId168" Type="http://schemas.openxmlformats.org/officeDocument/2006/relationships/image" Target="../media/04a7ec7de2ffe55ce691402861f66a20.jpg"/><Relationship Id="rId169" Type="http://schemas.openxmlformats.org/officeDocument/2006/relationships/image" Target="../media/8f8a41b33f7a0e520fb2fe714339eaa1.jpg"/><Relationship Id="rId170" Type="http://schemas.openxmlformats.org/officeDocument/2006/relationships/image" Target="../media/fc7353b33010ec5bd66a0a8dec339d29.jpg"/><Relationship Id="rId171" Type="http://schemas.openxmlformats.org/officeDocument/2006/relationships/image" Target="../media/49e6c32faa8dbd92afb30c5bbf77c2ec.jpg"/><Relationship Id="rId172" Type="http://schemas.openxmlformats.org/officeDocument/2006/relationships/image" Target="../media/0d697a446a2c8763c2007c1ef2b4d0f3.jpg"/><Relationship Id="rId173" Type="http://schemas.openxmlformats.org/officeDocument/2006/relationships/image" Target="../media/3eaea6b2386a904fe9c277aab598eab5.jpg"/><Relationship Id="rId174" Type="http://schemas.openxmlformats.org/officeDocument/2006/relationships/image" Target="../media/8be4419ae63480a706c5f23b18b1111d.jpg"/><Relationship Id="rId175" Type="http://schemas.openxmlformats.org/officeDocument/2006/relationships/image" Target="../media/f1403743f369664217102028ce984fc3.jpg"/><Relationship Id="rId176" Type="http://schemas.openxmlformats.org/officeDocument/2006/relationships/image" Target="../media/d6ed239a115697e55f1094249be97f13.jpg"/><Relationship Id="rId177" Type="http://schemas.openxmlformats.org/officeDocument/2006/relationships/image" Target="../media/19b75ce466d0f7ddb2440ece89c169e5.jpg"/><Relationship Id="rId178" Type="http://schemas.openxmlformats.org/officeDocument/2006/relationships/image" Target="../media/ed803cede408f153e8608b56ce655f79.jpg"/><Relationship Id="rId179" Type="http://schemas.openxmlformats.org/officeDocument/2006/relationships/image" Target="../media/8456aaf4885e90a626bf11445b3b7f9e.jpg"/><Relationship Id="rId180" Type="http://schemas.openxmlformats.org/officeDocument/2006/relationships/image" Target="../media/04cb985d6ca7a0fe83df6ae4c3571abd.jpg"/><Relationship Id="rId181" Type="http://schemas.openxmlformats.org/officeDocument/2006/relationships/image" Target="../media/193a7c97b35b859ad50e2cc0f78279c5.jpg"/><Relationship Id="rId182" Type="http://schemas.openxmlformats.org/officeDocument/2006/relationships/image" Target="../media/ff919c52a29847f3ef29b6608f51e309.jpg"/><Relationship Id="rId183" Type="http://schemas.openxmlformats.org/officeDocument/2006/relationships/image" Target="../media/064817192c3a84ca9435495eab84d931.jpg"/><Relationship Id="rId184" Type="http://schemas.openxmlformats.org/officeDocument/2006/relationships/image" Target="../media/cb85e47a5521d28bd8f3be5ff59acc0c.jpg"/><Relationship Id="rId185" Type="http://schemas.openxmlformats.org/officeDocument/2006/relationships/image" Target="../media/d3458ca578484c43c5879b2c49fd26bd.jpg"/><Relationship Id="rId186" Type="http://schemas.openxmlformats.org/officeDocument/2006/relationships/image" Target="../media/44892fd4c1c561b5a6a0a76b3898442d.jpg"/><Relationship Id="rId187" Type="http://schemas.openxmlformats.org/officeDocument/2006/relationships/image" Target="../media/55e3bda957b63366c1b5c4fdf5364f8f.jpg"/><Relationship Id="rId188" Type="http://schemas.openxmlformats.org/officeDocument/2006/relationships/image" Target="../media/a7c22d439bf50ded66da70e4528ff154.jpg"/><Relationship Id="rId189" Type="http://schemas.openxmlformats.org/officeDocument/2006/relationships/image" Target="../media/88ddb82773ff0f5ab05cda38314a0752.jpg"/><Relationship Id="rId190" Type="http://schemas.openxmlformats.org/officeDocument/2006/relationships/image" Target="../media/68575d1c4fe643c1326887d1a812576b.jpg"/><Relationship Id="rId191" Type="http://schemas.openxmlformats.org/officeDocument/2006/relationships/image" Target="../media/fbab232484376d51a6a7d5bf3b956369.jpg"/><Relationship Id="rId192" Type="http://schemas.openxmlformats.org/officeDocument/2006/relationships/image" Target="../media/14ce992bc006744819242fe35fdee001.jpg"/><Relationship Id="rId193" Type="http://schemas.openxmlformats.org/officeDocument/2006/relationships/image" Target="../media/49137a9152ff3b7b6579892037d2ca9f.jpg"/><Relationship Id="rId194" Type="http://schemas.openxmlformats.org/officeDocument/2006/relationships/image" Target="../media/6c55b0a7949e6eb7f94b72942c441d73.jpg"/><Relationship Id="rId195" Type="http://schemas.openxmlformats.org/officeDocument/2006/relationships/image" Target="../media/b64e3fe54a9e0a11fd9f41f51e68e7c4.jpg"/><Relationship Id="rId196" Type="http://schemas.openxmlformats.org/officeDocument/2006/relationships/image" Target="../media/6d5ce3741f087877c8b69ae735716fc9.jpg"/><Relationship Id="rId197" Type="http://schemas.openxmlformats.org/officeDocument/2006/relationships/image" Target="../media/fa57e06b3b24a2070bfa86ee2a0207a9.jpg"/><Relationship Id="rId198" Type="http://schemas.openxmlformats.org/officeDocument/2006/relationships/image" Target="../media/dd30661b29278fb9e9d7d8846c50f0fb.jpg"/><Relationship Id="rId199" Type="http://schemas.openxmlformats.org/officeDocument/2006/relationships/image" Target="../media/795a800f4b103f79312b511d941b0e79.jpg"/><Relationship Id="rId200" Type="http://schemas.openxmlformats.org/officeDocument/2006/relationships/image" Target="../media/12398d980babcb6aee2bb3b5edcd8f87.jpg"/><Relationship Id="rId201" Type="http://schemas.openxmlformats.org/officeDocument/2006/relationships/image" Target="../media/2a5bbc72eb90bdf9e31252d50870e4c0.jpg"/><Relationship Id="rId202" Type="http://schemas.openxmlformats.org/officeDocument/2006/relationships/image" Target="../media/20965a49906107cb73d4ceebb6a465d0.jpg"/><Relationship Id="rId203" Type="http://schemas.openxmlformats.org/officeDocument/2006/relationships/image" Target="../media/6d5ce3741f087877c8b69ae735716fc9.jpg"/><Relationship Id="rId204" Type="http://schemas.openxmlformats.org/officeDocument/2006/relationships/image" Target="../media/6d5ce3741f087877c8b69ae735716fc9.jpg"/><Relationship Id="rId205" Type="http://schemas.openxmlformats.org/officeDocument/2006/relationships/image" Target="../media/6d5ce3741f087877c8b69ae735716fc9.jpg"/><Relationship Id="rId206" Type="http://schemas.openxmlformats.org/officeDocument/2006/relationships/image" Target="../media/09ed26044b026ed4bb3c967615dae7a5.jpg"/><Relationship Id="rId207" Type="http://schemas.openxmlformats.org/officeDocument/2006/relationships/image" Target="../media/7b8417aa1ddc6871792e59eee6e2198d.jpg"/><Relationship Id="rId208" Type="http://schemas.openxmlformats.org/officeDocument/2006/relationships/image" Target="../media/b8276901a35b57b79d1690896b7e6042.jpg"/><Relationship Id="rId209" Type="http://schemas.openxmlformats.org/officeDocument/2006/relationships/image" Target="../media/c35e5463bc95525a9f0f3d7772142b9d.jpg"/><Relationship Id="rId210" Type="http://schemas.openxmlformats.org/officeDocument/2006/relationships/image" Target="../media/9af134dd39b7f2d2ae5e5520c99b452c.jpg"/><Relationship Id="rId211" Type="http://schemas.openxmlformats.org/officeDocument/2006/relationships/image" Target="../media/ca32e66afbb74cde510a5d8daff71416.jpg"/><Relationship Id="rId212" Type="http://schemas.openxmlformats.org/officeDocument/2006/relationships/image" Target="../media/a99c343b3b8f24bad8b04581b8ed36c1.jpg"/><Relationship Id="rId213" Type="http://schemas.openxmlformats.org/officeDocument/2006/relationships/image" Target="../media/49b9cbf9502fd51238b7a84df2855d7b.jpg"/><Relationship Id="rId214" Type="http://schemas.openxmlformats.org/officeDocument/2006/relationships/image" Target="../media/03cfd70e597342fb2725fb4c444370f2.jpg"/><Relationship Id="rId215" Type="http://schemas.openxmlformats.org/officeDocument/2006/relationships/image" Target="../media/c7fabc50daf930f4ab9d2f4b0f77b030.jpg"/><Relationship Id="rId216" Type="http://schemas.openxmlformats.org/officeDocument/2006/relationships/image" Target="../media/dcd541ed0256a0b858a9e2f80b8a4be3.jpg"/><Relationship Id="rId217" Type="http://schemas.openxmlformats.org/officeDocument/2006/relationships/image" Target="../media/b4cc3acafe217ba50c2a6d1600bda3df.jpg"/><Relationship Id="rId218" Type="http://schemas.openxmlformats.org/officeDocument/2006/relationships/image" Target="../media/8c1331d0b27269ec858b6a434baac4ef.jpg"/><Relationship Id="rId219" Type="http://schemas.openxmlformats.org/officeDocument/2006/relationships/image" Target="../media/62e9f115ae8975c11445bbb6c59fe2c8.jpg"/><Relationship Id="rId220" Type="http://schemas.openxmlformats.org/officeDocument/2006/relationships/image" Target="../media/ab17f6c071a275672cd99723c58eda72.jpg"/><Relationship Id="rId221" Type="http://schemas.openxmlformats.org/officeDocument/2006/relationships/image" Target="../media/729f53ca30a2686aa98b6b6765323d66.jpg"/><Relationship Id="rId222" Type="http://schemas.openxmlformats.org/officeDocument/2006/relationships/image" Target="../media/1d18f852fcca6dd94497676521ab7d07.jpg"/><Relationship Id="rId223" Type="http://schemas.openxmlformats.org/officeDocument/2006/relationships/image" Target="../media/417894eee4a56f4ac2ac197ca4ec651e.jpg"/><Relationship Id="rId224" Type="http://schemas.openxmlformats.org/officeDocument/2006/relationships/image" Target="../media/87c982ee7e1fdea44e71585e02c7f0ae.jpg"/><Relationship Id="rId225" Type="http://schemas.openxmlformats.org/officeDocument/2006/relationships/image" Target="../media/835fb2dcca72b8149eceb5101e435f8f.jpg"/><Relationship Id="rId226" Type="http://schemas.openxmlformats.org/officeDocument/2006/relationships/image" Target="../media/be8447738274afa8d5dc3588825b0e26.jpg"/><Relationship Id="rId227" Type="http://schemas.openxmlformats.org/officeDocument/2006/relationships/image" Target="../media/3791c1ec4020ed66ac2cc57f1d739c54.jpg"/><Relationship Id="rId228" Type="http://schemas.openxmlformats.org/officeDocument/2006/relationships/image" Target="../media/657e258e0496df9d45fb68b931e31518.jpg"/><Relationship Id="rId229" Type="http://schemas.openxmlformats.org/officeDocument/2006/relationships/image" Target="../media/ea00c214d0dd8fd17d9b22301d665ca1.jpg"/><Relationship Id="rId230" Type="http://schemas.openxmlformats.org/officeDocument/2006/relationships/image" Target="../media/b21acb559fb012091ca774c5eb9ebaac.jpg"/><Relationship Id="rId231" Type="http://schemas.openxmlformats.org/officeDocument/2006/relationships/image" Target="../media/39bf0aae450c3cbb4438a4dc2a3ac729.jpg"/><Relationship Id="rId232" Type="http://schemas.openxmlformats.org/officeDocument/2006/relationships/image" Target="../media/4666eb037dffd2f1cb7d020b56646d81.jpg"/><Relationship Id="rId233" Type="http://schemas.openxmlformats.org/officeDocument/2006/relationships/image" Target="../media/21ea82d7fe66c41ddbc16af52973da2b.jpg"/><Relationship Id="rId234" Type="http://schemas.openxmlformats.org/officeDocument/2006/relationships/image" Target="../media/e7e3238bb4b679b4a4d00691db242b96.jpg"/><Relationship Id="rId235" Type="http://schemas.openxmlformats.org/officeDocument/2006/relationships/image" Target="../media/18ce0e1e00783d56c546bd8c9184ab8a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161925</xdr:rowOff>
    </xdr:from>
    <xdr:ext cx="647700" cy="40005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4" name="photo_141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5" name="photo_142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142</xdr:row>
      <xdr:rowOff>38100</xdr:rowOff>
    </xdr:from>
    <xdr:ext cx="647700" cy="647700"/>
    <xdr:pic>
      <xdr:nvPicPr>
        <xdr:cNvPr id="136" name="photo_143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7" name="photo_144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8" name="photo_145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39" name="photo_146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146</xdr:row>
      <xdr:rowOff>38100</xdr:rowOff>
    </xdr:from>
    <xdr:ext cx="647700" cy="647700"/>
    <xdr:pic>
      <xdr:nvPicPr>
        <xdr:cNvPr id="140" name="photo_147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147</xdr:row>
      <xdr:rowOff>38100</xdr:rowOff>
    </xdr:from>
    <xdr:ext cx="647700" cy="647700"/>
    <xdr:pic>
      <xdr:nvPicPr>
        <xdr:cNvPr id="141" name="photo_148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148</xdr:row>
      <xdr:rowOff>38100</xdr:rowOff>
    </xdr:from>
    <xdr:ext cx="647700" cy="647700"/>
    <xdr:pic>
      <xdr:nvPicPr>
        <xdr:cNvPr id="142" name="photo_149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149</xdr:row>
      <xdr:rowOff>38100</xdr:rowOff>
    </xdr:from>
    <xdr:ext cx="647700" cy="647700"/>
    <xdr:pic>
      <xdr:nvPicPr>
        <xdr:cNvPr id="143" name="photo_150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150</xdr:row>
      <xdr:rowOff>38100</xdr:rowOff>
    </xdr:from>
    <xdr:ext cx="647700" cy="647700"/>
    <xdr:pic>
      <xdr:nvPicPr>
        <xdr:cNvPr id="144" name="photo_151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151</xdr:row>
      <xdr:rowOff>38100</xdr:rowOff>
    </xdr:from>
    <xdr:ext cx="647700" cy="647700"/>
    <xdr:pic>
      <xdr:nvPicPr>
        <xdr:cNvPr id="145" name="photo_152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152</xdr:row>
      <xdr:rowOff>38100</xdr:rowOff>
    </xdr:from>
    <xdr:ext cx="647700" cy="647700"/>
    <xdr:pic>
      <xdr:nvPicPr>
        <xdr:cNvPr id="146" name="photo_153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153</xdr:row>
      <xdr:rowOff>85725</xdr:rowOff>
    </xdr:from>
    <xdr:ext cx="647700" cy="552450"/>
    <xdr:pic>
      <xdr:nvPicPr>
        <xdr:cNvPr id="147" name="photo_154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154</xdr:row>
      <xdr:rowOff>95250</xdr:rowOff>
    </xdr:from>
    <xdr:ext cx="647700" cy="533400"/>
    <xdr:pic>
      <xdr:nvPicPr>
        <xdr:cNvPr id="148" name="photo_155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155</xdr:row>
      <xdr:rowOff>38100</xdr:rowOff>
    </xdr:from>
    <xdr:ext cx="647700" cy="647700"/>
    <xdr:pic>
      <xdr:nvPicPr>
        <xdr:cNvPr id="149" name="photo_156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156</xdr:row>
      <xdr:rowOff>38100</xdr:rowOff>
    </xdr:from>
    <xdr:ext cx="647700" cy="647700"/>
    <xdr:pic>
      <xdr:nvPicPr>
        <xdr:cNvPr id="150" name="photo_157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157</xdr:row>
      <xdr:rowOff>38100</xdr:rowOff>
    </xdr:from>
    <xdr:ext cx="647700" cy="647700"/>
    <xdr:pic>
      <xdr:nvPicPr>
        <xdr:cNvPr id="151" name="photo_158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158</xdr:row>
      <xdr:rowOff>38100</xdr:rowOff>
    </xdr:from>
    <xdr:ext cx="647700" cy="647700"/>
    <xdr:pic>
      <xdr:nvPicPr>
        <xdr:cNvPr id="152" name="photo_159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159</xdr:row>
      <xdr:rowOff>38100</xdr:rowOff>
    </xdr:from>
    <xdr:ext cx="647700" cy="647700"/>
    <xdr:pic>
      <xdr:nvPicPr>
        <xdr:cNvPr id="153" name="photo_160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160</xdr:row>
      <xdr:rowOff>38100</xdr:rowOff>
    </xdr:from>
    <xdr:ext cx="647700" cy="647700"/>
    <xdr:pic>
      <xdr:nvPicPr>
        <xdr:cNvPr id="154" name="photo_161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161</xdr:row>
      <xdr:rowOff>38100</xdr:rowOff>
    </xdr:from>
    <xdr:ext cx="647700" cy="647700"/>
    <xdr:pic>
      <xdr:nvPicPr>
        <xdr:cNvPr id="155" name="photo_162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162</xdr:row>
      <xdr:rowOff>38100</xdr:rowOff>
    </xdr:from>
    <xdr:ext cx="647700" cy="647700"/>
    <xdr:pic>
      <xdr:nvPicPr>
        <xdr:cNvPr id="156" name="photo_163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163</xdr:row>
      <xdr:rowOff>38100</xdr:rowOff>
    </xdr:from>
    <xdr:ext cx="647700" cy="647700"/>
    <xdr:pic>
      <xdr:nvPicPr>
        <xdr:cNvPr id="157" name="photo_164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164</xdr:row>
      <xdr:rowOff>38100</xdr:rowOff>
    </xdr:from>
    <xdr:ext cx="647700" cy="647700"/>
    <xdr:pic>
      <xdr:nvPicPr>
        <xdr:cNvPr id="158" name="photo_165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165</xdr:row>
      <xdr:rowOff>38100</xdr:rowOff>
    </xdr:from>
    <xdr:ext cx="647700" cy="647700"/>
    <xdr:pic>
      <xdr:nvPicPr>
        <xdr:cNvPr id="159" name="photo_166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166</xdr:row>
      <xdr:rowOff>38100</xdr:rowOff>
    </xdr:from>
    <xdr:ext cx="647700" cy="647700"/>
    <xdr:pic>
      <xdr:nvPicPr>
        <xdr:cNvPr id="160" name="photo_167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167</xdr:row>
      <xdr:rowOff>38100</xdr:rowOff>
    </xdr:from>
    <xdr:ext cx="647700" cy="647700"/>
    <xdr:pic>
      <xdr:nvPicPr>
        <xdr:cNvPr id="161" name="photo_168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168</xdr:row>
      <xdr:rowOff>38100</xdr:rowOff>
    </xdr:from>
    <xdr:ext cx="647700" cy="647700"/>
    <xdr:pic>
      <xdr:nvPicPr>
        <xdr:cNvPr id="162" name="photo_169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169</xdr:row>
      <xdr:rowOff>38100</xdr:rowOff>
    </xdr:from>
    <xdr:ext cx="647700" cy="647700"/>
    <xdr:pic>
      <xdr:nvPicPr>
        <xdr:cNvPr id="163" name="photo_170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170</xdr:row>
      <xdr:rowOff>38100</xdr:rowOff>
    </xdr:from>
    <xdr:ext cx="647700" cy="647700"/>
    <xdr:pic>
      <xdr:nvPicPr>
        <xdr:cNvPr id="164" name="photo_171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171</xdr:row>
      <xdr:rowOff>38100</xdr:rowOff>
    </xdr:from>
    <xdr:ext cx="647700" cy="647700"/>
    <xdr:pic>
      <xdr:nvPicPr>
        <xdr:cNvPr id="165" name="photo_172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172</xdr:row>
      <xdr:rowOff>38100</xdr:rowOff>
    </xdr:from>
    <xdr:ext cx="647700" cy="647700"/>
    <xdr:pic>
      <xdr:nvPicPr>
        <xdr:cNvPr id="166" name="photo_173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173</xdr:row>
      <xdr:rowOff>38100</xdr:rowOff>
    </xdr:from>
    <xdr:ext cx="647700" cy="647700"/>
    <xdr:pic>
      <xdr:nvPicPr>
        <xdr:cNvPr id="167" name="photo_174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174</xdr:row>
      <xdr:rowOff>38100</xdr:rowOff>
    </xdr:from>
    <xdr:ext cx="647700" cy="647700"/>
    <xdr:pic>
      <xdr:nvPicPr>
        <xdr:cNvPr id="168" name="photo_175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175</xdr:row>
      <xdr:rowOff>38100</xdr:rowOff>
    </xdr:from>
    <xdr:ext cx="647700" cy="647700"/>
    <xdr:pic>
      <xdr:nvPicPr>
        <xdr:cNvPr id="169" name="photo_176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176</xdr:row>
      <xdr:rowOff>38100</xdr:rowOff>
    </xdr:from>
    <xdr:ext cx="647700" cy="647700"/>
    <xdr:pic>
      <xdr:nvPicPr>
        <xdr:cNvPr id="170" name="photo_177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177</xdr:row>
      <xdr:rowOff>38100</xdr:rowOff>
    </xdr:from>
    <xdr:ext cx="647700" cy="647700"/>
    <xdr:pic>
      <xdr:nvPicPr>
        <xdr:cNvPr id="171" name="photo_178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178</xdr:row>
      <xdr:rowOff>38100</xdr:rowOff>
    </xdr:from>
    <xdr:ext cx="647700" cy="647700"/>
    <xdr:pic>
      <xdr:nvPicPr>
        <xdr:cNvPr id="172" name="photo_179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179</xdr:row>
      <xdr:rowOff>38100</xdr:rowOff>
    </xdr:from>
    <xdr:ext cx="647700" cy="647700"/>
    <xdr:pic>
      <xdr:nvPicPr>
        <xdr:cNvPr id="173" name="photo_180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180</xdr:row>
      <xdr:rowOff>38100</xdr:rowOff>
    </xdr:from>
    <xdr:ext cx="647700" cy="647700"/>
    <xdr:pic>
      <xdr:nvPicPr>
        <xdr:cNvPr id="174" name="photo_181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181</xdr:row>
      <xdr:rowOff>38100</xdr:rowOff>
    </xdr:from>
    <xdr:ext cx="647700" cy="647700"/>
    <xdr:pic>
      <xdr:nvPicPr>
        <xdr:cNvPr id="175" name="photo_182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182</xdr:row>
      <xdr:rowOff>38100</xdr:rowOff>
    </xdr:from>
    <xdr:ext cx="647700" cy="647700"/>
    <xdr:pic>
      <xdr:nvPicPr>
        <xdr:cNvPr id="176" name="photo_183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183</xdr:row>
      <xdr:rowOff>38100</xdr:rowOff>
    </xdr:from>
    <xdr:ext cx="647700" cy="647700"/>
    <xdr:pic>
      <xdr:nvPicPr>
        <xdr:cNvPr id="177" name="photo_184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184</xdr:row>
      <xdr:rowOff>38100</xdr:rowOff>
    </xdr:from>
    <xdr:ext cx="647700" cy="647700"/>
    <xdr:pic>
      <xdr:nvPicPr>
        <xdr:cNvPr id="178" name="photo_185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185</xdr:row>
      <xdr:rowOff>38100</xdr:rowOff>
    </xdr:from>
    <xdr:ext cx="647700" cy="647700"/>
    <xdr:pic>
      <xdr:nvPicPr>
        <xdr:cNvPr id="179" name="photo_186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186</xdr:row>
      <xdr:rowOff>38100</xdr:rowOff>
    </xdr:from>
    <xdr:ext cx="647700" cy="647700"/>
    <xdr:pic>
      <xdr:nvPicPr>
        <xdr:cNvPr id="180" name="photo_187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187</xdr:row>
      <xdr:rowOff>38100</xdr:rowOff>
    </xdr:from>
    <xdr:ext cx="647700" cy="647700"/>
    <xdr:pic>
      <xdr:nvPicPr>
        <xdr:cNvPr id="181" name="photo_188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188</xdr:row>
      <xdr:rowOff>38100</xdr:rowOff>
    </xdr:from>
    <xdr:ext cx="647700" cy="647700"/>
    <xdr:pic>
      <xdr:nvPicPr>
        <xdr:cNvPr id="182" name="photo_189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189</xdr:row>
      <xdr:rowOff>38100</xdr:rowOff>
    </xdr:from>
    <xdr:ext cx="647700" cy="647700"/>
    <xdr:pic>
      <xdr:nvPicPr>
        <xdr:cNvPr id="183" name="photo_190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190</xdr:row>
      <xdr:rowOff>38100</xdr:rowOff>
    </xdr:from>
    <xdr:ext cx="647700" cy="647700"/>
    <xdr:pic>
      <xdr:nvPicPr>
        <xdr:cNvPr id="184" name="photo_191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191</xdr:row>
      <xdr:rowOff>38100</xdr:rowOff>
    </xdr:from>
    <xdr:ext cx="647700" cy="647700"/>
    <xdr:pic>
      <xdr:nvPicPr>
        <xdr:cNvPr id="185" name="photo_192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192</xdr:row>
      <xdr:rowOff>38100</xdr:rowOff>
    </xdr:from>
    <xdr:ext cx="647700" cy="647700"/>
    <xdr:pic>
      <xdr:nvPicPr>
        <xdr:cNvPr id="186" name="photo_193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193</xdr:row>
      <xdr:rowOff>38100</xdr:rowOff>
    </xdr:from>
    <xdr:ext cx="647700" cy="647700"/>
    <xdr:pic>
      <xdr:nvPicPr>
        <xdr:cNvPr id="187" name="photo_194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194</xdr:row>
      <xdr:rowOff>38100</xdr:rowOff>
    </xdr:from>
    <xdr:ext cx="647700" cy="647700"/>
    <xdr:pic>
      <xdr:nvPicPr>
        <xdr:cNvPr id="188" name="photo_195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195</xdr:row>
      <xdr:rowOff>38100</xdr:rowOff>
    </xdr:from>
    <xdr:ext cx="647700" cy="647700"/>
    <xdr:pic>
      <xdr:nvPicPr>
        <xdr:cNvPr id="189" name="photo_196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196</xdr:row>
      <xdr:rowOff>38100</xdr:rowOff>
    </xdr:from>
    <xdr:ext cx="647700" cy="647700"/>
    <xdr:pic>
      <xdr:nvPicPr>
        <xdr:cNvPr id="190" name="photo_197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197</xdr:row>
      <xdr:rowOff>38100</xdr:rowOff>
    </xdr:from>
    <xdr:ext cx="647700" cy="647700"/>
    <xdr:pic>
      <xdr:nvPicPr>
        <xdr:cNvPr id="191" name="photo_198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198</xdr:row>
      <xdr:rowOff>38100</xdr:rowOff>
    </xdr:from>
    <xdr:ext cx="647700" cy="647700"/>
    <xdr:pic>
      <xdr:nvPicPr>
        <xdr:cNvPr id="192" name="photo_199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199</xdr:row>
      <xdr:rowOff>38100</xdr:rowOff>
    </xdr:from>
    <xdr:ext cx="647700" cy="647700"/>
    <xdr:pic>
      <xdr:nvPicPr>
        <xdr:cNvPr id="193" name="photo_200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200</xdr:row>
      <xdr:rowOff>38100</xdr:rowOff>
    </xdr:from>
    <xdr:ext cx="647700" cy="647700"/>
    <xdr:pic>
      <xdr:nvPicPr>
        <xdr:cNvPr id="194" name="photo_201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201</xdr:row>
      <xdr:rowOff>38100</xdr:rowOff>
    </xdr:from>
    <xdr:ext cx="647700" cy="647700"/>
    <xdr:pic>
      <xdr:nvPicPr>
        <xdr:cNvPr id="195" name="photo_202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202</xdr:row>
      <xdr:rowOff>38100</xdr:rowOff>
    </xdr:from>
    <xdr:ext cx="647700" cy="647700"/>
    <xdr:pic>
      <xdr:nvPicPr>
        <xdr:cNvPr id="196" name="photo_203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203</xdr:row>
      <xdr:rowOff>38100</xdr:rowOff>
    </xdr:from>
    <xdr:ext cx="647700" cy="647700"/>
    <xdr:pic>
      <xdr:nvPicPr>
        <xdr:cNvPr id="197" name="photo_204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204</xdr:row>
      <xdr:rowOff>38100</xdr:rowOff>
    </xdr:from>
    <xdr:ext cx="647700" cy="647700"/>
    <xdr:pic>
      <xdr:nvPicPr>
        <xdr:cNvPr id="198" name="photo_205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205</xdr:row>
      <xdr:rowOff>38100</xdr:rowOff>
    </xdr:from>
    <xdr:ext cx="647700" cy="647700"/>
    <xdr:pic>
      <xdr:nvPicPr>
        <xdr:cNvPr id="199" name="photo_206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206</xdr:row>
      <xdr:rowOff>38100</xdr:rowOff>
    </xdr:from>
    <xdr:ext cx="647700" cy="647700"/>
    <xdr:pic>
      <xdr:nvPicPr>
        <xdr:cNvPr id="200" name="photo_207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207</xdr:row>
      <xdr:rowOff>38100</xdr:rowOff>
    </xdr:from>
    <xdr:ext cx="647700" cy="647700"/>
    <xdr:pic>
      <xdr:nvPicPr>
        <xdr:cNvPr id="201" name="photo_208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208</xdr:row>
      <xdr:rowOff>38100</xdr:rowOff>
    </xdr:from>
    <xdr:ext cx="647700" cy="647700"/>
    <xdr:pic>
      <xdr:nvPicPr>
        <xdr:cNvPr id="202" name="photo_209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210</xdr:row>
      <xdr:rowOff>38100</xdr:rowOff>
    </xdr:from>
    <xdr:ext cx="647700" cy="647700"/>
    <xdr:pic>
      <xdr:nvPicPr>
        <xdr:cNvPr id="203" name="photo_211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211</xdr:row>
      <xdr:rowOff>38100</xdr:rowOff>
    </xdr:from>
    <xdr:ext cx="647700" cy="647700"/>
    <xdr:pic>
      <xdr:nvPicPr>
        <xdr:cNvPr id="204" name="photo_212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212</xdr:row>
      <xdr:rowOff>38100</xdr:rowOff>
    </xdr:from>
    <xdr:ext cx="647700" cy="647700"/>
    <xdr:pic>
      <xdr:nvPicPr>
        <xdr:cNvPr id="205" name="photo_213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213</xdr:row>
      <xdr:rowOff>38100</xdr:rowOff>
    </xdr:from>
    <xdr:ext cx="647700" cy="647700"/>
    <xdr:pic>
      <xdr:nvPicPr>
        <xdr:cNvPr id="206" name="photo_214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214</xdr:row>
      <xdr:rowOff>38100</xdr:rowOff>
    </xdr:from>
    <xdr:ext cx="647700" cy="647700"/>
    <xdr:pic>
      <xdr:nvPicPr>
        <xdr:cNvPr id="207" name="photo_215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215</xdr:row>
      <xdr:rowOff>38100</xdr:rowOff>
    </xdr:from>
    <xdr:ext cx="647700" cy="647700"/>
    <xdr:pic>
      <xdr:nvPicPr>
        <xdr:cNvPr id="208" name="photo_216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216</xdr:row>
      <xdr:rowOff>38100</xdr:rowOff>
    </xdr:from>
    <xdr:ext cx="647700" cy="647700"/>
    <xdr:pic>
      <xdr:nvPicPr>
        <xdr:cNvPr id="209" name="photo_217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217</xdr:row>
      <xdr:rowOff>38100</xdr:rowOff>
    </xdr:from>
    <xdr:ext cx="647700" cy="647700"/>
    <xdr:pic>
      <xdr:nvPicPr>
        <xdr:cNvPr id="210" name="photo_218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218</xdr:row>
      <xdr:rowOff>38100</xdr:rowOff>
    </xdr:from>
    <xdr:ext cx="647700" cy="647700"/>
    <xdr:pic>
      <xdr:nvPicPr>
        <xdr:cNvPr id="211" name="photo_219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219</xdr:row>
      <xdr:rowOff>38100</xdr:rowOff>
    </xdr:from>
    <xdr:ext cx="647700" cy="647700"/>
    <xdr:pic>
      <xdr:nvPicPr>
        <xdr:cNvPr id="212" name="photo_220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220</xdr:row>
      <xdr:rowOff>38100</xdr:rowOff>
    </xdr:from>
    <xdr:ext cx="647700" cy="647700"/>
    <xdr:pic>
      <xdr:nvPicPr>
        <xdr:cNvPr id="213" name="photo_221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221</xdr:row>
      <xdr:rowOff>38100</xdr:rowOff>
    </xdr:from>
    <xdr:ext cx="647700" cy="647700"/>
    <xdr:pic>
      <xdr:nvPicPr>
        <xdr:cNvPr id="214" name="photo_222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222</xdr:row>
      <xdr:rowOff>38100</xdr:rowOff>
    </xdr:from>
    <xdr:ext cx="647700" cy="647700"/>
    <xdr:pic>
      <xdr:nvPicPr>
        <xdr:cNvPr id="215" name="photo_223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223</xdr:row>
      <xdr:rowOff>38100</xdr:rowOff>
    </xdr:from>
    <xdr:ext cx="647700" cy="647700"/>
    <xdr:pic>
      <xdr:nvPicPr>
        <xdr:cNvPr id="216" name="photo_224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224</xdr:row>
      <xdr:rowOff>38100</xdr:rowOff>
    </xdr:from>
    <xdr:ext cx="647700" cy="647700"/>
    <xdr:pic>
      <xdr:nvPicPr>
        <xdr:cNvPr id="217" name="photo_225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225</xdr:row>
      <xdr:rowOff>38100</xdr:rowOff>
    </xdr:from>
    <xdr:ext cx="647700" cy="647700"/>
    <xdr:pic>
      <xdr:nvPicPr>
        <xdr:cNvPr id="218" name="photo_226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226</xdr:row>
      <xdr:rowOff>38100</xdr:rowOff>
    </xdr:from>
    <xdr:ext cx="647700" cy="647700"/>
    <xdr:pic>
      <xdr:nvPicPr>
        <xdr:cNvPr id="219" name="photo_227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228</xdr:row>
      <xdr:rowOff>38100</xdr:rowOff>
    </xdr:from>
    <xdr:ext cx="647700" cy="647700"/>
    <xdr:pic>
      <xdr:nvPicPr>
        <xdr:cNvPr id="220" name="photo_229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229</xdr:row>
      <xdr:rowOff>38100</xdr:rowOff>
    </xdr:from>
    <xdr:ext cx="647700" cy="647700"/>
    <xdr:pic>
      <xdr:nvPicPr>
        <xdr:cNvPr id="221" name="photo_230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230</xdr:row>
      <xdr:rowOff>38100</xdr:rowOff>
    </xdr:from>
    <xdr:ext cx="542925" cy="647700"/>
    <xdr:pic>
      <xdr:nvPicPr>
        <xdr:cNvPr id="222" name="photo_231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38100</xdr:rowOff>
    </xdr:from>
    <xdr:ext cx="581025" cy="647700"/>
    <xdr:pic>
      <xdr:nvPicPr>
        <xdr:cNvPr id="223" name="photo_232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232</xdr:row>
      <xdr:rowOff>38100</xdr:rowOff>
    </xdr:from>
    <xdr:ext cx="571500" cy="647700"/>
    <xdr:pic>
      <xdr:nvPicPr>
        <xdr:cNvPr id="224" name="photo_233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233</xdr:row>
      <xdr:rowOff>38100</xdr:rowOff>
    </xdr:from>
    <xdr:ext cx="571500" cy="647700"/>
    <xdr:pic>
      <xdr:nvPicPr>
        <xdr:cNvPr id="225" name="photo_234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234</xdr:row>
      <xdr:rowOff>38100</xdr:rowOff>
    </xdr:from>
    <xdr:ext cx="647700" cy="647700"/>
    <xdr:pic>
      <xdr:nvPicPr>
        <xdr:cNvPr id="226" name="photo_235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235</xdr:row>
      <xdr:rowOff>114300</xdr:rowOff>
    </xdr:from>
    <xdr:ext cx="647700" cy="504825"/>
    <xdr:pic>
      <xdr:nvPicPr>
        <xdr:cNvPr id="227" name="photo_236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236</xdr:row>
      <xdr:rowOff>38100</xdr:rowOff>
    </xdr:from>
    <xdr:ext cx="647700" cy="647700"/>
    <xdr:pic>
      <xdr:nvPicPr>
        <xdr:cNvPr id="228" name="photo_237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237</xdr:row>
      <xdr:rowOff>38100</xdr:rowOff>
    </xdr:from>
    <xdr:ext cx="485775" cy="647700"/>
    <xdr:pic>
      <xdr:nvPicPr>
        <xdr:cNvPr id="229" name="photo_238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238</xdr:row>
      <xdr:rowOff>38100</xdr:rowOff>
    </xdr:from>
    <xdr:ext cx="647700" cy="647700"/>
    <xdr:pic>
      <xdr:nvPicPr>
        <xdr:cNvPr id="230" name="photo_239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239</xdr:row>
      <xdr:rowOff>38100</xdr:rowOff>
    </xdr:from>
    <xdr:ext cx="647700" cy="647700"/>
    <xdr:pic>
      <xdr:nvPicPr>
        <xdr:cNvPr id="231" name="photo_240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240</xdr:row>
      <xdr:rowOff>38100</xdr:rowOff>
    </xdr:from>
    <xdr:ext cx="647700" cy="647700"/>
    <xdr:pic>
      <xdr:nvPicPr>
        <xdr:cNvPr id="232" name="photo_241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241</xdr:row>
      <xdr:rowOff>38100</xdr:rowOff>
    </xdr:from>
    <xdr:ext cx="647700" cy="647700"/>
    <xdr:pic>
      <xdr:nvPicPr>
        <xdr:cNvPr id="233" name="photo_242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242</xdr:row>
      <xdr:rowOff>38100</xdr:rowOff>
    </xdr:from>
    <xdr:ext cx="647700" cy="647700"/>
    <xdr:pic>
      <xdr:nvPicPr>
        <xdr:cNvPr id="234" name="photo_243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243</xdr:row>
      <xdr:rowOff>38100</xdr:rowOff>
    </xdr:from>
    <xdr:ext cx="400050" cy="647700"/>
    <xdr:pic>
      <xdr:nvPicPr>
        <xdr:cNvPr id="235" name="photo_244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75cedf6b-bb9d-11ef-ab3b-22344d083d2c%23cbaa385c-bb9d-11ef-ab3b-22344d083d2c" TargetMode="External"/><Relationship Id="rId_hyperlink_2" Type="http://schemas.openxmlformats.org/officeDocument/2006/relationships/hyperlink" Target="https://www.lavrpack.ru/catalog/?product=aa1ac989-bb9e-11ef-ab3b-22344d083d2c%237d303a94-4d04-11f0-ab41-22344d083d2c" TargetMode="External"/><Relationship Id="rId_hyperlink_3" Type="http://schemas.openxmlformats.org/officeDocument/2006/relationships/hyperlink" Target="https://www.lavrpack.ru/catalog/?product=984ca797-4d40-11f1-ab50-22344d083d2c%23a2d1ae5b-4d40-11f1-ab50-22344d083d2c" TargetMode="External"/><Relationship Id="rId_hyperlink_4" Type="http://schemas.openxmlformats.org/officeDocument/2006/relationships/hyperlink" Target="https://www.lavrpack.ru/catalog/?product=75f8af27-4d05-11f0-ab41-22344d083d2c%2383d2388e-4d05-11f0-ab41-22344d083d2c" TargetMode="External"/><Relationship Id="rId_hyperlink_5" Type="http://schemas.openxmlformats.org/officeDocument/2006/relationships/hyperlink" Target="https://www.lavrpack.ru/catalog/?product=75f8af27-4d05-11f0-ab41-22344d083d2c%232beca743-4d3e-11f1-ab50-22344d083d2c" TargetMode="External"/><Relationship Id="rId_hyperlink_6" Type="http://schemas.openxmlformats.org/officeDocument/2006/relationships/hyperlink" Target="https://www.lavrpack.ru/catalog/?product=3dc1b995-bb9b-11ef-ab3b-22344d083d2c%234b05133a-bb9b-11ef-ab3b-22344d083d2c" TargetMode="External"/><Relationship Id="rId_hyperlink_7" Type="http://schemas.openxmlformats.org/officeDocument/2006/relationships/hyperlink" Target="https://www.lavrpack.ru/catalog/?product=cb14a3ca-4d2f-11f1-ab50-22344d083d2c%23d9d84536-4d2f-11f1-ab50-22344d083d2c" TargetMode="External"/><Relationship Id="rId_hyperlink_8" Type="http://schemas.openxmlformats.org/officeDocument/2006/relationships/hyperlink" Target="https://www.lavrpack.ru/catalog/?product=cb14a3ca-4d2f-11f1-ab50-22344d083d2c%23e7bfe45e-4d2f-11f1-ab50-22344d083d2c" TargetMode="External"/><Relationship Id="rId_hyperlink_9" Type="http://schemas.openxmlformats.org/officeDocument/2006/relationships/hyperlink" Target="https://www.lavrpack.ru/catalog/?product=cb14a3ca-4d2f-11f1-ab50-22344d083d2c%23fb154f92-4d2f-11f1-ab50-22344d083d2c" TargetMode="External"/><Relationship Id="rId_hyperlink_10" Type="http://schemas.openxmlformats.org/officeDocument/2006/relationships/hyperlink" Target="https://www.lavrpack.ru/catalog/?product=e2a75d83-bc63-11ef-ab3b-22344d083d2c%23e9e45628-bc63-11ef-ab3b-22344d083d2c" TargetMode="External"/><Relationship Id="rId_hyperlink_11" Type="http://schemas.openxmlformats.org/officeDocument/2006/relationships/hyperlink" Target="https://www.lavrpack.ru/catalog/?product=1066c4ab-4d31-11f1-ab50-22344d083d2c%23246b8da2-4d31-11f1-ab50-22344d083d2c" TargetMode="External"/><Relationship Id="rId_hyperlink_12" Type="http://schemas.openxmlformats.org/officeDocument/2006/relationships/hyperlink" Target="https://www.lavrpack.ru/catalog/?product=1066c4ab-4d31-11f1-ab50-22344d083d2c%23371cfc61-4d31-11f1-ab50-22344d083d2c" TargetMode="External"/><Relationship Id="rId_hyperlink_13" Type="http://schemas.openxmlformats.org/officeDocument/2006/relationships/hyperlink" Target="https://www.lavrpack.ru/catalog/?product=2d6ff3d2-b6b9-11ee-baea-00e01a6800eb%23b89c17ed-b6c0-11ee-baea-00e01a6800eb" TargetMode="External"/><Relationship Id="rId_hyperlink_14" Type="http://schemas.openxmlformats.org/officeDocument/2006/relationships/hyperlink" Target="https://www.lavrpack.ru/catalog/?product=2d6ff3d2-b6b9-11ee-baea-00e01a6800eb%23aeb03ba8-b6c0-11ee-baea-00e01a6800eb" TargetMode="External"/><Relationship Id="rId_hyperlink_15" Type="http://schemas.openxmlformats.org/officeDocument/2006/relationships/hyperlink" Target="https://www.lavrpack.ru/catalog/?product=2d6ff3d2-b6b9-11ee-baea-00e01a6800eb%23a33dfdb7-b6c0-11ee-baea-00e01a6800eb" TargetMode="External"/><Relationship Id="rId_hyperlink_16" Type="http://schemas.openxmlformats.org/officeDocument/2006/relationships/hyperlink" Target="https://www.lavrpack.ru/catalog/?product=2d6ff3d2-b6b9-11ee-baea-00e01a6800eb%239880a869-b6c0-11ee-baea-00e01a6800eb" TargetMode="External"/><Relationship Id="rId_hyperlink_17" Type="http://schemas.openxmlformats.org/officeDocument/2006/relationships/hyperlink" Target="https://www.lavrpack.ru/catalog/?product=ddd16ec3-6635-11f0-ab47-22344d083d2c%230d0dd564-66bc-11f0-ab47-22344d083d2c" TargetMode="External"/><Relationship Id="rId_hyperlink_18" Type="http://schemas.openxmlformats.org/officeDocument/2006/relationships/hyperlink" Target="https://www.lavrpack.ru/catalog/?product=ef8c8e5e-6424-11ee-bc2f-00e01a6800eb" TargetMode="External"/><Relationship Id="rId_hyperlink_19" Type="http://schemas.openxmlformats.org/officeDocument/2006/relationships/hyperlink" Target="https://www.lavrpack.ru/catalog/?product=240db6c6-6422-11ee-bc2f-00e01a6800eb" TargetMode="External"/><Relationship Id="rId_hyperlink_20" Type="http://schemas.openxmlformats.org/officeDocument/2006/relationships/hyperlink" Target="https://www.lavrpack.ru/catalog/?product=08346f05-0c51-11ef-9f05-00e01a6800eb%231f227069-0c51-11ef-9f05-00e01a6800eb" TargetMode="External"/><Relationship Id="rId_hyperlink_21" Type="http://schemas.openxmlformats.org/officeDocument/2006/relationships/hyperlink" Target="https://www.lavrpack.ru/catalog/?product=08346f05-0c51-11ef-9f05-00e01a6800eb%2318161d6b-0c51-11ef-9f05-00e01a6800eb" TargetMode="External"/><Relationship Id="rId_hyperlink_22" Type="http://schemas.openxmlformats.org/officeDocument/2006/relationships/hyperlink" Target="https://www.lavrpack.ru/catalog/?product=6ee28175-0c55-11ef-9f05-00e01a6800eb%237e05c1e7-0c55-11ef-9f05-00e01a6800eb" TargetMode="External"/><Relationship Id="rId_hyperlink_23" Type="http://schemas.openxmlformats.org/officeDocument/2006/relationships/hyperlink" Target="https://www.lavrpack.ru/catalog/?product=6ee28175-0c55-11ef-9f05-00e01a6800eb%2376fbd026-0c55-11ef-9f05-00e01a6800eb" TargetMode="External"/><Relationship Id="rId_hyperlink_24" Type="http://schemas.openxmlformats.org/officeDocument/2006/relationships/hyperlink" Target="https://www.lavrpack.ru/catalog/?product=6ee28175-0c55-11ef-9f05-00e01a6800eb%2376fbd016-0c55-11ef-9f05-00e01a6800eb" TargetMode="External"/><Relationship Id="rId_hyperlink_25" Type="http://schemas.openxmlformats.org/officeDocument/2006/relationships/hyperlink" Target="https://www.lavrpack.ru/catalog/?product=3802ee61-b6ba-11ee-baea-00e01a6800eb%2341ba6c6f-b6ba-11ee-baea-00e01a6800eb" TargetMode="External"/><Relationship Id="rId_hyperlink_26" Type="http://schemas.openxmlformats.org/officeDocument/2006/relationships/hyperlink" Target="https://www.lavrpack.ru/catalog/?product=3802ee61-b6ba-11ee-baea-00e01a6800eb%234a081944-b6ba-11ee-baea-00e01a6800eb" TargetMode="External"/><Relationship Id="rId_hyperlink_27" Type="http://schemas.openxmlformats.org/officeDocument/2006/relationships/hyperlink" Target="https://www.lavrpack.ru/catalog/?product=3802ee61-b6ba-11ee-baea-00e01a6800eb%2359184e70-b6ba-11ee-baea-00e01a6800eb" TargetMode="External"/><Relationship Id="rId_hyperlink_28" Type="http://schemas.openxmlformats.org/officeDocument/2006/relationships/hyperlink" Target="https://www.lavrpack.ru/catalog/?product=320fe827-bb9a-11ef-ab3b-22344d083d2c%2348b29187-bb9a-11ef-ab3b-22344d083d2c" TargetMode="External"/><Relationship Id="rId_hyperlink_29" Type="http://schemas.openxmlformats.org/officeDocument/2006/relationships/hyperlink" Target="https://www.lavrpack.ru/catalog/?product=9959bd82-8a5c-11f1-ab51-22344d083d2c" TargetMode="External"/><Relationship Id="rId_hyperlink_30" Type="http://schemas.openxmlformats.org/officeDocument/2006/relationships/hyperlink" Target="https://www.lavrpack.ru/catalog/?product=507909cc-8a5d-11f1-ab51-22344d083d2c" TargetMode="External"/><Relationship Id="rId_hyperlink_31" Type="http://schemas.openxmlformats.org/officeDocument/2006/relationships/hyperlink" Target="https://www.lavrpack.ru/catalog/?product=00adac5c-a3c3-11ed-ba70-00e01a6800eb" TargetMode="External"/><Relationship Id="rId_hyperlink_32" Type="http://schemas.openxmlformats.org/officeDocument/2006/relationships/hyperlink" Target="https://www.lavrpack.ru/catalog/?product=ee46c6c2-8656-11f1-ab51-22344d083d2c" TargetMode="External"/><Relationship Id="rId_hyperlink_33" Type="http://schemas.openxmlformats.org/officeDocument/2006/relationships/hyperlink" Target="https://www.lavrpack.ru/catalog/?product=63b4d80b-a2d7-11ed-ba70-00e01a6800eb" TargetMode="External"/><Relationship Id="rId_hyperlink_34" Type="http://schemas.openxmlformats.org/officeDocument/2006/relationships/hyperlink" Target="https://www.lavrpack.ru/catalog/?product=3b04ae4c-a223-11ed-ba70-00e01a6800eb" TargetMode="External"/><Relationship Id="rId_hyperlink_35" Type="http://schemas.openxmlformats.org/officeDocument/2006/relationships/hyperlink" Target="https://www.lavrpack.ru/catalog/?product=01a2f0f1-8509-11f1-ab51-22344d083d2c" TargetMode="External"/><Relationship Id="rId_hyperlink_36" Type="http://schemas.openxmlformats.org/officeDocument/2006/relationships/hyperlink" Target="https://www.lavrpack.ru/catalog/?product=b5750133-902b-11ee-a8ad-00e01a6800eb%23c8f2454d-902b-11ee-a8ad-00e01a6800eb" TargetMode="External"/><Relationship Id="rId_hyperlink_37" Type="http://schemas.openxmlformats.org/officeDocument/2006/relationships/hyperlink" Target="https://www.lavrpack.ru/catalog/?product=b5750133-902b-11ee-a8ad-00e01a6800eb%23bd1026af-902b-11ee-a8ad-00e01a6800eb" TargetMode="External"/><Relationship Id="rId_hyperlink_38" Type="http://schemas.openxmlformats.org/officeDocument/2006/relationships/hyperlink" Target="https://www.lavrpack.ru/catalog/?product=a96835b9-9018-11ee-a8ad-00e01a6800eb%2366609397-9019-11ee-a8ad-00e01a6800eb" TargetMode="External"/><Relationship Id="rId_hyperlink_39" Type="http://schemas.openxmlformats.org/officeDocument/2006/relationships/hyperlink" Target="https://www.lavrpack.ru/catalog/?product=99368ef3-0c3e-11ef-9f05-00e01a6800eb%23ceadb75b-0c3e-11ef-9f05-00e01a6800eb" TargetMode="External"/><Relationship Id="rId_hyperlink_40" Type="http://schemas.openxmlformats.org/officeDocument/2006/relationships/hyperlink" Target="https://www.lavrpack.ru/catalog/?product=e727d91c-0c40-11ef-9f05-00e01a6800eb%23fdaf7f72-0c40-11ef-9f05-00e01a6800eb" TargetMode="External"/><Relationship Id="rId_hyperlink_41" Type="http://schemas.openxmlformats.org/officeDocument/2006/relationships/hyperlink" Target="https://www.lavrpack.ru/catalog/?product=e727d91c-0c40-11ef-9f05-00e01a6800eb%23ee9ce8b7-0c40-11ef-9f05-00e01a6800eb" TargetMode="External"/><Relationship Id="rId_hyperlink_42" Type="http://schemas.openxmlformats.org/officeDocument/2006/relationships/hyperlink" Target="https://www.lavrpack.ru/catalog/?product=e727d91c-0c40-11ef-9f05-00e01a6800eb%231a1db599-8640-11ef-ab5a-1cfd08767543" TargetMode="External"/><Relationship Id="rId_hyperlink_43" Type="http://schemas.openxmlformats.org/officeDocument/2006/relationships/hyperlink" Target="https://www.lavrpack.ru/catalog/?product=ba4e6609-9c0a-11ef-ab3b-22344d083d2c%23d88d1835-9c0a-11ef-ab3b-22344d083d2c" TargetMode="External"/><Relationship Id="rId_hyperlink_44" Type="http://schemas.openxmlformats.org/officeDocument/2006/relationships/hyperlink" Target="https://www.lavrpack.ru/catalog/?product=ba4e6609-9c0a-11ef-ab3b-22344d083d2c%23c66bbda3-9c0a-11ef-ab3b-22344d083d2c" TargetMode="External"/><Relationship Id="rId_hyperlink_45" Type="http://schemas.openxmlformats.org/officeDocument/2006/relationships/hyperlink" Target="https://www.lavrpack.ru/catalog/?product=ba4e6609-9c0a-11ef-ab3b-22344d083d2c%23cc861d2d-9c0a-11ef-ab3b-22344d083d2c" TargetMode="External"/><Relationship Id="rId_hyperlink_46" Type="http://schemas.openxmlformats.org/officeDocument/2006/relationships/hyperlink" Target="https://www.lavrpack.ru/catalog/?product=ba4e6609-9c0a-11ef-ab3b-22344d083d2c%23f69f074f-9c0a-11ef-ab3b-22344d083d2c" TargetMode="External"/><Relationship Id="rId_hyperlink_47" Type="http://schemas.openxmlformats.org/officeDocument/2006/relationships/hyperlink" Target="https://www.lavrpack.ru/catalog/?product=ba4e6609-9c0a-11ef-ab3b-22344d083d2c%23fc9c8a8e-9c0a-11ef-ab3b-22344d083d2c" TargetMode="External"/><Relationship Id="rId_hyperlink_48" Type="http://schemas.openxmlformats.org/officeDocument/2006/relationships/hyperlink" Target="https://www.lavrpack.ru/catalog/?product=ba4e6609-9c0a-11ef-ab3b-22344d083d2c%23e48e139f-9c0a-11ef-ab3b-22344d083d2c" TargetMode="External"/><Relationship Id="rId_hyperlink_49" Type="http://schemas.openxmlformats.org/officeDocument/2006/relationships/hyperlink" Target="https://www.lavrpack.ru/catalog/?product=ba4e6609-9c0a-11ef-ab3b-22344d083d2c%23f07fb676-9c0a-11ef-ab3b-22344d083d2c" TargetMode="External"/><Relationship Id="rId_hyperlink_50" Type="http://schemas.openxmlformats.org/officeDocument/2006/relationships/hyperlink" Target="https://www.lavrpack.ru/catalog/?product=ba4e6609-9c0a-11ef-ab3b-22344d083d2c%2302a89b2d-9c0b-11ef-ab3b-22344d083d2c" TargetMode="External"/><Relationship Id="rId_hyperlink_51" Type="http://schemas.openxmlformats.org/officeDocument/2006/relationships/hyperlink" Target="https://www.lavrpack.ru/catalog/?product=ba4e6609-9c0a-11ef-ab3b-22344d083d2c%2309b92f68-9c0b-11ef-ab3b-22344d083d2c" TargetMode="External"/><Relationship Id="rId_hyperlink_52" Type="http://schemas.openxmlformats.org/officeDocument/2006/relationships/hyperlink" Target="https://www.lavrpack.ru/catalog/?product=ba4e6609-9c0a-11ef-ab3b-22344d083d2c%23de84ba62-9c0a-11ef-ab3b-22344d083d2c" TargetMode="External"/><Relationship Id="rId_hyperlink_53" Type="http://schemas.openxmlformats.org/officeDocument/2006/relationships/hyperlink" Target="https://www.lavrpack.ru/catalog/?product=ba4e6609-9c0a-11ef-ab3b-22344d083d2c%23eabfd3c1-9c0a-11ef-ab3b-22344d083d2c" TargetMode="External"/><Relationship Id="rId_hyperlink_54" Type="http://schemas.openxmlformats.org/officeDocument/2006/relationships/hyperlink" Target="https://www.lavrpack.ru/catalog/?product=ba4e6609-9c0a-11ef-ab3b-22344d083d2c%23d2860edb-9c0a-11ef-ab3b-22344d083d2c" TargetMode="External"/><Relationship Id="rId_hyperlink_55" Type="http://schemas.openxmlformats.org/officeDocument/2006/relationships/hyperlink" Target="https://www.lavrpack.ru/catalog/?product=ba4e6609-9c0a-11ef-ab3b-22344d083d2c%23cc861ac6-9c0a-11ef-ab3b-22344d083d2c" TargetMode="External"/><Relationship Id="rId_hyperlink_56" Type="http://schemas.openxmlformats.org/officeDocument/2006/relationships/hyperlink" Target="https://www.lavrpack.ru/catalog/?product=ba4e6609-9c0a-11ef-ab3b-22344d083d2c%230fb490f7-9c0b-11ef-ab3b-22344d083d2c" TargetMode="External"/><Relationship Id="rId_hyperlink_57" Type="http://schemas.openxmlformats.org/officeDocument/2006/relationships/hyperlink" Target="https://www.lavrpack.ru/catalog/?product=5f23cbc9-d90e-11ed-8488-00e01a6800eb%23477a3ba7-8eb7-11ee-a8ad-00e01a6800eb" TargetMode="External"/><Relationship Id="rId_hyperlink_58" Type="http://schemas.openxmlformats.org/officeDocument/2006/relationships/hyperlink" Target="https://www.lavrpack.ru/catalog/?product=5f23cbc9-d90e-11ed-8488-00e01a6800eb%232a0c5888-8eb7-11ee-a8ad-00e01a6800eb" TargetMode="External"/><Relationship Id="rId_hyperlink_59" Type="http://schemas.openxmlformats.org/officeDocument/2006/relationships/hyperlink" Target="https://www.lavrpack.ru/catalog/?product=5f23cbc9-d90e-11ed-8488-00e01a6800eb%237909a21c-8eb7-11ee-a8ad-00e01a6800eb" TargetMode="External"/><Relationship Id="rId_hyperlink_60" Type="http://schemas.openxmlformats.org/officeDocument/2006/relationships/hyperlink" Target="https://www.lavrpack.ru/catalog/?product=5f23cbc9-d90e-11ed-8488-00e01a6800eb%2357089a09-8eb7-11ee-a8ad-00e01a6800eb" TargetMode="External"/><Relationship Id="rId_hyperlink_61" Type="http://schemas.openxmlformats.org/officeDocument/2006/relationships/hyperlink" Target="https://www.lavrpack.ru/catalog/?product=5f23cbc9-d90e-11ed-8488-00e01a6800eb%2391df9d98-8eb7-11ee-a8ad-00e01a6800eb" TargetMode="External"/><Relationship Id="rId_hyperlink_62" Type="http://schemas.openxmlformats.org/officeDocument/2006/relationships/hyperlink" Target="https://www.lavrpack.ru/catalog/?product=5f23cbc9-d90e-11ed-8488-00e01a6800eb%23a153ccc3-8eb7-11ee-a8ad-00e01a6800eb" TargetMode="External"/><Relationship Id="rId_hyperlink_63" Type="http://schemas.openxmlformats.org/officeDocument/2006/relationships/hyperlink" Target="https://www.lavrpack.ru/catalog/?product=5f23cbc9-d90e-11ed-8488-00e01a6800eb%235f23cc35-d90e-11ed-8488-00e01a6800eb" TargetMode="External"/><Relationship Id="rId_hyperlink_64" Type="http://schemas.openxmlformats.org/officeDocument/2006/relationships/hyperlink" Target="https://www.lavrpack.ru/catalog/?product=b108cd55-d907-11ed-8488-00e01a6800eb%232fb056b0-431a-11ee-a90e-00e01a6800eb" TargetMode="External"/><Relationship Id="rId_hyperlink_65" Type="http://schemas.openxmlformats.org/officeDocument/2006/relationships/hyperlink" Target="https://www.lavrpack.ru/catalog/?product=b108cd55-d907-11ed-8488-00e01a6800eb%2356d7bf10-d908-11ed-8488-00e01a6800eb" TargetMode="External"/><Relationship Id="rId_hyperlink_66" Type="http://schemas.openxmlformats.org/officeDocument/2006/relationships/hyperlink" Target="https://www.lavrpack.ru/catalog/?product=b108cd55-d907-11ed-8488-00e01a6800eb%2359b3fc6d-8eb0-11ee-a8ad-00e01a6800eb" TargetMode="External"/><Relationship Id="rId_hyperlink_67" Type="http://schemas.openxmlformats.org/officeDocument/2006/relationships/hyperlink" Target="https://www.lavrpack.ru/catalog/?product=b108cd55-d907-11ed-8488-00e01a6800eb%23a26a085b-8eb0-11ee-a8ad-00e01a6800eb" TargetMode="External"/><Relationship Id="rId_hyperlink_68" Type="http://schemas.openxmlformats.org/officeDocument/2006/relationships/hyperlink" Target="https://www.lavrpack.ru/catalog/?product=b108cd55-d907-11ed-8488-00e01a6800eb%23838d912d-8eb0-11ee-a8ad-00e01a6800eb" TargetMode="External"/><Relationship Id="rId_hyperlink_69" Type="http://schemas.openxmlformats.org/officeDocument/2006/relationships/hyperlink" Target="https://www.lavrpack.ru/catalog/?product=b108cd55-d907-11ed-8488-00e01a6800eb%23cc13835d-8eaf-11ee-a8ad-00e01a6800eb" TargetMode="External"/><Relationship Id="rId_hyperlink_70" Type="http://schemas.openxmlformats.org/officeDocument/2006/relationships/hyperlink" Target="https://www.lavrpack.ru/catalog/?product=b108cd55-d907-11ed-8488-00e01a6800eb%234a6b4280-d908-11ed-8488-00e01a6800eb" TargetMode="External"/><Relationship Id="rId_hyperlink_71" Type="http://schemas.openxmlformats.org/officeDocument/2006/relationships/hyperlink" Target="https://www.lavrpack.ru/catalog/?product=b108cd55-d907-11ed-8488-00e01a6800eb%234211aec8-d908-11ed-8488-00e01a6800eb" TargetMode="External"/><Relationship Id="rId_hyperlink_72" Type="http://schemas.openxmlformats.org/officeDocument/2006/relationships/hyperlink" Target="https://www.lavrpack.ru/catalog/?product=b108cd55-d907-11ed-8488-00e01a6800eb%230e28d729-8eb0-11ee-a8ad-00e01a6800eb" TargetMode="External"/><Relationship Id="rId_hyperlink_73" Type="http://schemas.openxmlformats.org/officeDocument/2006/relationships/hyperlink" Target="https://www.lavrpack.ru/catalog/?product=b108cd55-d907-11ed-8488-00e01a6800eb%23f3e6a922-8eaf-11ee-a8ad-00e01a6800eb" TargetMode="External"/><Relationship Id="rId_hyperlink_74" Type="http://schemas.openxmlformats.org/officeDocument/2006/relationships/hyperlink" Target="https://www.lavrpack.ru/catalog/?product=b108cd55-d907-11ed-8488-00e01a6800eb%23a03e6dc0-d908-11ed-8488-00e01a6800eb" TargetMode="External"/><Relationship Id="rId_hyperlink_75" Type="http://schemas.openxmlformats.org/officeDocument/2006/relationships/hyperlink" Target="https://www.lavrpack.ru/catalog/?product=b108cd55-d907-11ed-8488-00e01a6800eb%23b04493fc-d908-11ed-8488-00e01a6800eb" TargetMode="External"/><Relationship Id="rId_hyperlink_76" Type="http://schemas.openxmlformats.org/officeDocument/2006/relationships/hyperlink" Target="https://www.lavrpack.ru/catalog/?product=b108cd55-d907-11ed-8488-00e01a6800eb%2314bfe63f-4319-11ee-a90e-00e01a6800eb" TargetMode="External"/><Relationship Id="rId_hyperlink_77" Type="http://schemas.openxmlformats.org/officeDocument/2006/relationships/hyperlink" Target="https://www.lavrpack.ru/catalog/?product=1ebcb17f-d90a-11ed-8488-00e01a6800eb%235fbe4c71-d90b-11ed-8488-00e01a6800eb" TargetMode="External"/><Relationship Id="rId_hyperlink_78" Type="http://schemas.openxmlformats.org/officeDocument/2006/relationships/hyperlink" Target="https://www.lavrpack.ru/catalog/?product=1ebcb17f-d90a-11ed-8488-00e01a6800eb%235994ba0f-431b-11ee-a90e-00e01a6800eb" TargetMode="External"/><Relationship Id="rId_hyperlink_79" Type="http://schemas.openxmlformats.org/officeDocument/2006/relationships/hyperlink" Target="https://www.lavrpack.ru/catalog/?product=1ebcb17f-d90a-11ed-8488-00e01a6800eb%23f7c42ea7-d90b-11ed-8488-00e01a6800eb" TargetMode="External"/><Relationship Id="rId_hyperlink_80" Type="http://schemas.openxmlformats.org/officeDocument/2006/relationships/hyperlink" Target="https://www.lavrpack.ru/catalog/?product=1ebcb17f-d90a-11ed-8488-00e01a6800eb%23eef134c3-d90b-11ed-8488-00e01a6800eb" TargetMode="External"/><Relationship Id="rId_hyperlink_81" Type="http://schemas.openxmlformats.org/officeDocument/2006/relationships/hyperlink" Target="https://www.lavrpack.ru/catalog/?product=1ebcb17f-d90a-11ed-8488-00e01a6800eb%23f96783de-b338-11f0-ab48-22344d083d2c" TargetMode="External"/><Relationship Id="rId_hyperlink_82" Type="http://schemas.openxmlformats.org/officeDocument/2006/relationships/hyperlink" Target="https://www.lavrpack.ru/catalog/?product=1ebcb17f-d90a-11ed-8488-00e01a6800eb%2351bd7426-d90b-11ed-8488-00e01a6800eb" TargetMode="External"/><Relationship Id="rId_hyperlink_83" Type="http://schemas.openxmlformats.org/officeDocument/2006/relationships/hyperlink" Target="https://www.lavrpack.ru/catalog/?product=1ebcb17f-d90a-11ed-8488-00e01a6800eb%2365e15893-d90b-11ed-8488-00e01a6800eb" TargetMode="External"/><Relationship Id="rId_hyperlink_84" Type="http://schemas.openxmlformats.org/officeDocument/2006/relationships/hyperlink" Target="https://www.lavrpack.ru/catalog/?product=1ebcb17f-d90a-11ed-8488-00e01a6800eb%2318a522ac-431c-11ee-a90e-00e01a6800eb" TargetMode="External"/><Relationship Id="rId_hyperlink_85" Type="http://schemas.openxmlformats.org/officeDocument/2006/relationships/hyperlink" Target="https://www.lavrpack.ru/catalog/?product=b8b54f78-9c0c-11ef-ab3b-22344d083d2c%23fc25fc75-9c0c-11ef-ab3b-22344d083d2c" TargetMode="External"/><Relationship Id="rId_hyperlink_86" Type="http://schemas.openxmlformats.org/officeDocument/2006/relationships/hyperlink" Target="https://www.lavrpack.ru/catalog/?product=b8b54f78-9c0c-11ef-ab3b-22344d083d2c%2308c58dec-9c0d-11ef-ab3b-22344d083d2c" TargetMode="External"/><Relationship Id="rId_hyperlink_87" Type="http://schemas.openxmlformats.org/officeDocument/2006/relationships/hyperlink" Target="https://www.lavrpack.ru/catalog/?product=b8b54f78-9c0c-11ef-ab3b-22344d083d2c%23bec800e1-9c0c-11ef-ab3b-22344d083d2c" TargetMode="External"/><Relationship Id="rId_hyperlink_88" Type="http://schemas.openxmlformats.org/officeDocument/2006/relationships/hyperlink" Target="https://www.lavrpack.ru/catalog/?product=b8b54f78-9c0c-11ef-ab3b-22344d083d2c%23033a0f86-9c0d-11ef-ab3b-22344d083d2c" TargetMode="External"/><Relationship Id="rId_hyperlink_89" Type="http://schemas.openxmlformats.org/officeDocument/2006/relationships/hyperlink" Target="https://www.lavrpack.ru/catalog/?product=b8b54f78-9c0c-11ef-ab3b-22344d083d2c%23d778ef8d-9c0c-11ef-ab3b-22344d083d2c" TargetMode="External"/><Relationship Id="rId_hyperlink_90" Type="http://schemas.openxmlformats.org/officeDocument/2006/relationships/hyperlink" Target="https://www.lavrpack.ru/catalog/?product=b8b54f78-9c0c-11ef-ab3b-22344d083d2c%23eff0b6bc-9c0c-11ef-ab3b-22344d083d2c" TargetMode="External"/><Relationship Id="rId_hyperlink_91" Type="http://schemas.openxmlformats.org/officeDocument/2006/relationships/hyperlink" Target="https://www.lavrpack.ru/catalog/?product=b8b54f78-9c0c-11ef-ab3b-22344d083d2c%23ddc76e61-9c0c-11ef-ab3b-22344d083d2c" TargetMode="External"/><Relationship Id="rId_hyperlink_92" Type="http://schemas.openxmlformats.org/officeDocument/2006/relationships/hyperlink" Target="https://www.lavrpack.ru/catalog/?product=b8b54f78-9c0c-11ef-ab3b-22344d083d2c%2314dc5126-9c0d-11ef-ab3b-22344d083d2c" TargetMode="External"/><Relationship Id="rId_hyperlink_93" Type="http://schemas.openxmlformats.org/officeDocument/2006/relationships/hyperlink" Target="https://www.lavrpack.ru/catalog/?product=b8b54f78-9c0c-11ef-ab3b-22344d083d2c%230ec89e80-9c0d-11ef-ab3b-22344d083d2c" TargetMode="External"/><Relationship Id="rId_hyperlink_94" Type="http://schemas.openxmlformats.org/officeDocument/2006/relationships/hyperlink" Target="https://www.lavrpack.ru/catalog/?product=b8b54f78-9c0c-11ef-ab3b-22344d083d2c%2320cddb14-9c0d-11ef-ab3b-22344d083d2c" TargetMode="External"/><Relationship Id="rId_hyperlink_95" Type="http://schemas.openxmlformats.org/officeDocument/2006/relationships/hyperlink" Target="https://www.lavrpack.ru/catalog/?product=b8b54f78-9c0c-11ef-ab3b-22344d083d2c%231ad428ca-9c0d-11ef-ab3b-22344d083d2c" TargetMode="External"/><Relationship Id="rId_hyperlink_96" Type="http://schemas.openxmlformats.org/officeDocument/2006/relationships/hyperlink" Target="https://www.lavrpack.ru/catalog/?product=b8b54f78-9c0c-11ef-ab3b-22344d083d2c%23cb725b7e-9c0c-11ef-ab3b-22344d083d2c" TargetMode="External"/><Relationship Id="rId_hyperlink_97" Type="http://schemas.openxmlformats.org/officeDocument/2006/relationships/hyperlink" Target="https://www.lavrpack.ru/catalog/?product=9c4e22ab-4592-11ee-a90e-00e01a6800eb%23f3efb524-4592-11ee-a90e-00e01a6800eb" TargetMode="External"/><Relationship Id="rId_hyperlink_98" Type="http://schemas.openxmlformats.org/officeDocument/2006/relationships/hyperlink" Target="https://www.lavrpack.ru/catalog/?product=6a4856c4-d90d-11ed-8488-00e01a6800eb%2326933c34-b08c-11ef-ab3b-22344d083d2c" TargetMode="External"/><Relationship Id="rId_hyperlink_99" Type="http://schemas.openxmlformats.org/officeDocument/2006/relationships/hyperlink" Target="https://www.lavrpack.ru/catalog/?product=6a4856c4-d90d-11ed-8488-00e01a6800eb%23c3dfb665-d90d-11ed-8488-00e01a6800eb" TargetMode="External"/><Relationship Id="rId_hyperlink_100" Type="http://schemas.openxmlformats.org/officeDocument/2006/relationships/hyperlink" Target="https://www.lavrpack.ru/catalog/?product=6a4856c4-d90d-11ed-8488-00e01a6800eb%23f7faeadd-8eb8-11ee-a8ad-00e01a6800eb" TargetMode="External"/><Relationship Id="rId_hyperlink_101" Type="http://schemas.openxmlformats.org/officeDocument/2006/relationships/hyperlink" Target="https://www.lavrpack.ru/catalog/?product=6a4856c4-d90d-11ed-8488-00e01a6800eb%23d78df02b-8eb8-11ee-a8ad-00e01a6800eb" TargetMode="External"/><Relationship Id="rId_hyperlink_102" Type="http://schemas.openxmlformats.org/officeDocument/2006/relationships/hyperlink" Target="https://www.lavrpack.ru/catalog/?product=6a4856c4-d90d-11ed-8488-00e01a6800eb%232545b9c1-8eb9-11ee-a8ad-00e01a6800eb" TargetMode="External"/><Relationship Id="rId_hyperlink_103" Type="http://schemas.openxmlformats.org/officeDocument/2006/relationships/hyperlink" Target="https://www.lavrpack.ru/catalog/?product=6a4856c4-d90d-11ed-8488-00e01a6800eb%2312d7d250-8eb9-11ee-a8ad-00e01a6800eb" TargetMode="External"/><Relationship Id="rId_hyperlink_104" Type="http://schemas.openxmlformats.org/officeDocument/2006/relationships/hyperlink" Target="https://www.lavrpack.ru/catalog/?product=6a4856c4-d90d-11ed-8488-00e01a6800eb%23adfc281f-d90d-11ed-8488-00e01a6800eb" TargetMode="External"/><Relationship Id="rId_hyperlink_105" Type="http://schemas.openxmlformats.org/officeDocument/2006/relationships/hyperlink" Target="https://www.lavrpack.ru/catalog/?product=6a4856c4-d90d-11ed-8488-00e01a6800eb%23440803ea-8eb9-11ee-a8ad-00e01a6800eb" TargetMode="External"/><Relationship Id="rId_hyperlink_106" Type="http://schemas.openxmlformats.org/officeDocument/2006/relationships/hyperlink" Target="https://www.lavrpack.ru/catalog/?product=6a4856c4-d90d-11ed-8488-00e01a6800eb%23c4d1f850-8cf8-11ee-a8ad-00e01a6800eb" TargetMode="External"/><Relationship Id="rId_hyperlink_107" Type="http://schemas.openxmlformats.org/officeDocument/2006/relationships/hyperlink" Target="https://www.lavrpack.ru/catalog/?product=6a4856c4-d90d-11ed-8488-00e01a6800eb%23592cfae9-8eb9-11ee-a8ad-00e01a6800eb" TargetMode="External"/><Relationship Id="rId_hyperlink_108" Type="http://schemas.openxmlformats.org/officeDocument/2006/relationships/hyperlink" Target="https://www.lavrpack.ru/catalog/?product=47d5f75e-9c13-11ef-ab3b-22344d083d2c%23601df347-9c13-11ef-ab3b-22344d083d2c" TargetMode="External"/><Relationship Id="rId_hyperlink_109" Type="http://schemas.openxmlformats.org/officeDocument/2006/relationships/hyperlink" Target="https://www.lavrpack.ru/catalog/?product=47d5f75e-9c13-11ef-ab3b-22344d083d2c%232e3be0a2-143c-11f0-ab40-22344d083d2c" TargetMode="External"/><Relationship Id="rId_hyperlink_110" Type="http://schemas.openxmlformats.org/officeDocument/2006/relationships/hyperlink" Target="https://www.lavrpack.ru/catalog/?product=47d5f75e-9c13-11ef-ab3b-22344d083d2c%2360d04cf8-13b5-11f0-ab40-22344d083d2c" TargetMode="External"/><Relationship Id="rId_hyperlink_111" Type="http://schemas.openxmlformats.org/officeDocument/2006/relationships/hyperlink" Target="https://www.lavrpack.ru/catalog/?product=332dcb90-9c10-11ef-ab3b-22344d083d2c%233f348396-9c10-11ef-ab3b-22344d083d2c" TargetMode="External"/><Relationship Id="rId_hyperlink_112" Type="http://schemas.openxmlformats.org/officeDocument/2006/relationships/hyperlink" Target="https://www.lavrpack.ru/catalog/?product=332dcb90-9c10-11ef-ab3b-22344d083d2c%239db6c4c5-9c10-11ef-ab3b-22344d083d2c" TargetMode="External"/><Relationship Id="rId_hyperlink_113" Type="http://schemas.openxmlformats.org/officeDocument/2006/relationships/hyperlink" Target="https://www.lavrpack.ru/catalog/?product=332dcb90-9c10-11ef-ab3b-22344d083d2c%23ba413a66-9c10-11ef-ab3b-22344d083d2c" TargetMode="External"/><Relationship Id="rId_hyperlink_114" Type="http://schemas.openxmlformats.org/officeDocument/2006/relationships/hyperlink" Target="https://www.lavrpack.ru/catalog/?product=332dcb90-9c10-11ef-ab3b-22344d083d2c%2397b2f832-9c10-11ef-ab3b-22344d083d2c" TargetMode="External"/><Relationship Id="rId_hyperlink_115" Type="http://schemas.openxmlformats.org/officeDocument/2006/relationships/hyperlink" Target="https://www.lavrpack.ru/catalog/?product=332dcb90-9c10-11ef-ab3b-22344d083d2c%23c09cbffc-9c10-11ef-ab3b-22344d083d2c" TargetMode="External"/><Relationship Id="rId_hyperlink_116" Type="http://schemas.openxmlformats.org/officeDocument/2006/relationships/hyperlink" Target="https://www.lavrpack.ru/catalog/?product=332dcb90-9c10-11ef-ab3b-22344d083d2c%23acfc2c7e-9c10-11ef-ab3b-22344d083d2c" TargetMode="External"/><Relationship Id="rId_hyperlink_117" Type="http://schemas.openxmlformats.org/officeDocument/2006/relationships/hyperlink" Target="https://www.lavrpack.ru/catalog/?product=332dcb90-9c10-11ef-ab3b-22344d083d2c%234bc637ee-9c10-11ef-ab3b-22344d083d2c" TargetMode="External"/><Relationship Id="rId_hyperlink_118" Type="http://schemas.openxmlformats.org/officeDocument/2006/relationships/hyperlink" Target="https://www.lavrpack.ru/catalog/?product=332dcb90-9c10-11ef-ab3b-22344d083d2c%23b3bc173e-9c10-11ef-ab3b-22344d083d2c" TargetMode="External"/><Relationship Id="rId_hyperlink_119" Type="http://schemas.openxmlformats.org/officeDocument/2006/relationships/hyperlink" Target="https://www.lavrpack.ru/catalog/?product=332dcb90-9c10-11ef-ab3b-22344d083d2c%23814f6fbd-9c10-11ef-ab3b-22344d083d2c" TargetMode="External"/><Relationship Id="rId_hyperlink_120" Type="http://schemas.openxmlformats.org/officeDocument/2006/relationships/hyperlink" Target="https://www.lavrpack.ru/catalog/?product=332dcb90-9c10-11ef-ab3b-22344d083d2c%237b1e1c42-9c10-11ef-ab3b-22344d083d2c" TargetMode="External"/><Relationship Id="rId_hyperlink_121" Type="http://schemas.openxmlformats.org/officeDocument/2006/relationships/hyperlink" Target="https://www.lavrpack.ru/catalog/?product=332dcb90-9c10-11ef-ab3b-22344d083d2c%238e647964-9c10-11ef-ab3b-22344d083d2c" TargetMode="External"/><Relationship Id="rId_hyperlink_122" Type="http://schemas.openxmlformats.org/officeDocument/2006/relationships/hyperlink" Target="https://www.lavrpack.ru/catalog/?product=332dcb90-9c10-11ef-ab3b-22344d083d2c%23a467f802-9c10-11ef-ab3b-22344d083d2c" TargetMode="External"/><Relationship Id="rId_hyperlink_123" Type="http://schemas.openxmlformats.org/officeDocument/2006/relationships/hyperlink" Target="https://www.lavrpack.ru/catalog/?product=332dcb90-9c10-11ef-ab3b-22344d083d2c%233f348483-9c10-11ef-ab3b-22344d083d2c" TargetMode="External"/><Relationship Id="rId_hyperlink_124" Type="http://schemas.openxmlformats.org/officeDocument/2006/relationships/hyperlink" Target="https://www.lavrpack.ru/catalog/?product=335d11d5-9c05-11ef-ab3b-22344d083d2c%239096500d-9c05-11ef-ab3b-22344d083d2c" TargetMode="External"/><Relationship Id="rId_hyperlink_125" Type="http://schemas.openxmlformats.org/officeDocument/2006/relationships/hyperlink" Target="https://www.lavrpack.ru/catalog/?product=335d11d5-9c05-11ef-ab3b-22344d083d2c%23b05c3832-9c05-11ef-ab3b-22344d083d2c" TargetMode="External"/><Relationship Id="rId_hyperlink_126" Type="http://schemas.openxmlformats.org/officeDocument/2006/relationships/hyperlink" Target="https://www.lavrpack.ru/catalog/?product=335d11d5-9c05-11ef-ab3b-22344d083d2c%23c9038363-9c05-11ef-ab3b-22344d083d2c" TargetMode="External"/><Relationship Id="rId_hyperlink_127" Type="http://schemas.openxmlformats.org/officeDocument/2006/relationships/hyperlink" Target="https://www.lavrpack.ru/catalog/?product=335d11d5-9c05-11ef-ab3b-22344d083d2c%23b692b6f3-9c05-11ef-ab3b-22344d083d2c" TargetMode="External"/><Relationship Id="rId_hyperlink_128" Type="http://schemas.openxmlformats.org/officeDocument/2006/relationships/hyperlink" Target="https://www.lavrpack.ru/catalog/?product=335d11d5-9c05-11ef-ab3b-22344d083d2c%237e5b2546-9c05-11ef-ab3b-22344d083d2c" TargetMode="External"/><Relationship Id="rId_hyperlink_129" Type="http://schemas.openxmlformats.org/officeDocument/2006/relationships/hyperlink" Target="https://www.lavrpack.ru/catalog/?product=335d11d5-9c05-11ef-ab3b-22344d083d2c%238477fb82-9c05-11ef-ab3b-22344d083d2c" TargetMode="External"/><Relationship Id="rId_hyperlink_130" Type="http://schemas.openxmlformats.org/officeDocument/2006/relationships/hyperlink" Target="https://www.lavrpack.ru/catalog/?product=335d11d5-9c05-11ef-ab3b-22344d083d2c%23bcaede5c-9c05-11ef-ab3b-22344d083d2c" TargetMode="External"/><Relationship Id="rId_hyperlink_131" Type="http://schemas.openxmlformats.org/officeDocument/2006/relationships/hyperlink" Target="https://www.lavrpack.ru/catalog/?product=5c725bc9-6375-11ee-bc2f-00e01a6800eb%2368b3b182-6375-11ee-bc2f-00e01a6800eb" TargetMode="External"/><Relationship Id="rId_hyperlink_132" Type="http://schemas.openxmlformats.org/officeDocument/2006/relationships/hyperlink" Target="https://www.lavrpack.ru/catalog/?product=5c725bc9-6375-11ee-bc2f-00e01a6800eb%2375165a6f-6375-11ee-bc2f-00e01a6800eb" TargetMode="External"/><Relationship Id="rId_hyperlink_133" Type="http://schemas.openxmlformats.org/officeDocument/2006/relationships/hyperlink" Target="https://www.lavrpack.ru/catalog/?product=aced080b-d79a-11ee-a0ad-00e01a6800eb%23b4b28a8f-13a5-11f0-ab40-22344d083d2c" TargetMode="External"/><Relationship Id="rId_hyperlink_134" Type="http://schemas.openxmlformats.org/officeDocument/2006/relationships/hyperlink" Target="https://www.lavrpack.ru/catalog/?product=aced080b-d79a-11ee-a0ad-00e01a6800eb%23d0d2b2dc-13a5-11f0-ab40-22344d083d2c" TargetMode="External"/><Relationship Id="rId_hyperlink_135" Type="http://schemas.openxmlformats.org/officeDocument/2006/relationships/hyperlink" Target="https://www.lavrpack.ru/catalog/?product=f9d77ee6-d79a-11ee-a0ad-00e01a6800eb%23a50c5672-13a2-11f0-ab40-22344d083d2c" TargetMode="External"/><Relationship Id="rId_hyperlink_136" Type="http://schemas.openxmlformats.org/officeDocument/2006/relationships/hyperlink" Target="https://www.lavrpack.ru/catalog/?product=f9d77ee6-d79a-11ee-a0ad-00e01a6800eb%23bf4be6c8-13a4-11f0-ab40-22344d083d2c" TargetMode="External"/><Relationship Id="rId_hyperlink_137" Type="http://schemas.openxmlformats.org/officeDocument/2006/relationships/hyperlink" Target="https://www.lavrpack.ru/catalog/?product=f9d77ee6-d79a-11ee-a0ad-00e01a6800eb%239282e90f-13a2-11f0-ab40-22344d083d2c" TargetMode="External"/><Relationship Id="rId_hyperlink_138" Type="http://schemas.openxmlformats.org/officeDocument/2006/relationships/hyperlink" Target="https://www.lavrpack.ru/catalog/?product=f9d77ee6-d79a-11ee-a0ad-00e01a6800eb%2347a0c7c4-b49c-11f0-ab48-22344d083d2c" TargetMode="External"/><Relationship Id="rId_hyperlink_139" Type="http://schemas.openxmlformats.org/officeDocument/2006/relationships/hyperlink" Target="https://www.lavrpack.ru/catalog/?product=f9d77ee6-d79a-11ee-a0ad-00e01a6800eb%23c606b76e-13a4-11f0-ab40-22344d083d2c" TargetMode="External"/><Relationship Id="rId_hyperlink_140" Type="http://schemas.openxmlformats.org/officeDocument/2006/relationships/hyperlink" Target="https://www.lavrpack.ru/catalog/?product=f9d77ee6-d79a-11ee-a0ad-00e01a6800eb%23076f9ab6-d79b-11ee-a0ad-00e01a6800eb" TargetMode="External"/><Relationship Id="rId_hyperlink_141" Type="http://schemas.openxmlformats.org/officeDocument/2006/relationships/hyperlink" Target="https://www.lavrpack.ru/catalog/?product=f9d77ee6-d79a-11ee-a0ad-00e01a6800eb%23b7330725-13a4-11f0-ab40-22344d083d2c" TargetMode="External"/><Relationship Id="rId_hyperlink_142" Type="http://schemas.openxmlformats.org/officeDocument/2006/relationships/hyperlink" Target="https://www.lavrpack.ru/catalog/?product=f9d77ee6-d79a-11ee-a0ad-00e01a6800eb%230dd08ac1-d79b-11ee-a0ad-00e01a6800eb" TargetMode="External"/><Relationship Id="rId_hyperlink_143" Type="http://schemas.openxmlformats.org/officeDocument/2006/relationships/hyperlink" Target="https://www.lavrpack.ru/catalog/?product=f9d77ee6-d79a-11ee-a0ad-00e01a6800eb%2340d99b4e-b49c-11f0-ab48-22344d083d2c" TargetMode="External"/><Relationship Id="rId_hyperlink_144" Type="http://schemas.openxmlformats.org/officeDocument/2006/relationships/hyperlink" Target="https://www.lavrpack.ru/catalog/?product=f9d77ee6-d79a-11ee-a0ad-00e01a6800eb%2398fa3065-13a2-11f0-ab40-22344d083d2c" TargetMode="External"/><Relationship Id="rId_hyperlink_145" Type="http://schemas.openxmlformats.org/officeDocument/2006/relationships/hyperlink" Target="https://www.lavrpack.ru/catalog/?product=f9d77ee6-d79a-11ee-a0ad-00e01a6800eb%23076f9ad8-d79b-11ee-a0ad-00e01a6800eb" TargetMode="External"/><Relationship Id="rId_hyperlink_146" Type="http://schemas.openxmlformats.org/officeDocument/2006/relationships/hyperlink" Target="https://www.lavrpack.ru/catalog/?product=6d702416-7f2d-11ec-b73f-0018e40a3af2" TargetMode="External"/><Relationship Id="rId_hyperlink_147" Type="http://schemas.openxmlformats.org/officeDocument/2006/relationships/hyperlink" Target="https://www.lavrpack.ru/catalog/?product=17bd31fe-7f2e-11ec-b73f-0018e40a3af2" TargetMode="External"/><Relationship Id="rId_hyperlink_148" Type="http://schemas.openxmlformats.org/officeDocument/2006/relationships/hyperlink" Target="https://www.lavrpack.ru/catalog/?product=5e7c3e74-f825-11f0-ab4d-22344d083d2c%23d17fad56-f825-11f0-ab4d-22344d083d2c" TargetMode="External"/><Relationship Id="rId_hyperlink_149" Type="http://schemas.openxmlformats.org/officeDocument/2006/relationships/hyperlink" Target="https://www.lavrpack.ru/catalog/?product=be5ddfda-f821-11f0-ab4d-22344d083d2c%23d8d22062-f821-11f0-ab4d-22344d083d2c" TargetMode="External"/><Relationship Id="rId_hyperlink_150" Type="http://schemas.openxmlformats.org/officeDocument/2006/relationships/hyperlink" Target="https://www.lavrpack.ru/catalog/?product=be5ddfda-f821-11f0-ab4d-22344d083d2c%2397440891-f856-11f0-ab4d-22344d083d2c" TargetMode="External"/><Relationship Id="rId_hyperlink_151" Type="http://schemas.openxmlformats.org/officeDocument/2006/relationships/hyperlink" Target="https://www.lavrpack.ru/catalog/?product=be5ddfda-f821-11f0-ab4d-22344d083d2c%23defb21f2-f821-11f0-ab4d-22344d083d2c" TargetMode="External"/><Relationship Id="rId_hyperlink_152" Type="http://schemas.openxmlformats.org/officeDocument/2006/relationships/hyperlink" Target="https://www.lavrpack.ru/catalog/?product=be5ddfda-f821-11f0-ab4d-22344d083d2c%23f7a342f6-f821-11f0-ab4d-22344d083d2c" TargetMode="External"/><Relationship Id="rId_hyperlink_153" Type="http://schemas.openxmlformats.org/officeDocument/2006/relationships/hyperlink" Target="https://www.lavrpack.ru/catalog/?product=be5ddfda-f821-11f0-ab4d-22344d083d2c%2303953635-f822-11f0-ab4d-22344d083d2c" TargetMode="External"/><Relationship Id="rId_hyperlink_154" Type="http://schemas.openxmlformats.org/officeDocument/2006/relationships/hyperlink" Target="https://www.lavrpack.ru/catalog/?product=be5ddfda-f821-11f0-ab4d-22344d083d2c%235235ab1e-f822-11f0-ab4d-22344d083d2c" TargetMode="External"/><Relationship Id="rId_hyperlink_155" Type="http://schemas.openxmlformats.org/officeDocument/2006/relationships/hyperlink" Target="https://www.lavrpack.ru/catalog/?product=be5ddfda-f821-11f0-ab4d-22344d083d2c%235a5390e4-f822-11f0-ab4d-22344d083d2c" TargetMode="External"/><Relationship Id="rId_hyperlink_156" Type="http://schemas.openxmlformats.org/officeDocument/2006/relationships/hyperlink" Target="https://www.lavrpack.ru/catalog/?product=be5ddfda-f821-11f0-ab4d-22344d083d2c%2366cf90cc-f822-11f0-ab4d-22344d083d2c" TargetMode="External"/><Relationship Id="rId_hyperlink_157" Type="http://schemas.openxmlformats.org/officeDocument/2006/relationships/hyperlink" Target="https://www.lavrpack.ru/catalog/?product=be5ddfda-f821-11f0-ab4d-22344d083d2c%233dab04ed-f82f-11f0-ab4d-22344d083d2c" TargetMode="External"/><Relationship Id="rId_hyperlink_158" Type="http://schemas.openxmlformats.org/officeDocument/2006/relationships/hyperlink" Target="https://www.lavrpack.ru/catalog/?product=be5ddfda-f821-11f0-ab4d-22344d083d2c%23690f6ca1-f82e-11f0-ab4d-22344d083d2c" TargetMode="External"/><Relationship Id="rId_hyperlink_159" Type="http://schemas.openxmlformats.org/officeDocument/2006/relationships/hyperlink" Target="https://www.lavrpack.ru/catalog/?product=be5ddfda-f821-11f0-ab4d-22344d083d2c%237363f899-f822-11f0-ab4d-22344d083d2c" TargetMode="External"/><Relationship Id="rId_hyperlink_160" Type="http://schemas.openxmlformats.org/officeDocument/2006/relationships/hyperlink" Target="https://www.lavrpack.ru/catalog/?product=830b318c-f820-11f0-ab4d-22344d083d2c%23a180c06f-f820-11f0-ab4d-22344d083d2c" TargetMode="External"/><Relationship Id="rId_hyperlink_161" Type="http://schemas.openxmlformats.org/officeDocument/2006/relationships/hyperlink" Target="https://www.lavrpack.ru/catalog/?product=830b318c-f820-11f0-ab4d-22344d083d2c%23adf6983f-f820-11f0-ab4d-22344d083d2c" TargetMode="External"/><Relationship Id="rId_hyperlink_162" Type="http://schemas.openxmlformats.org/officeDocument/2006/relationships/hyperlink" Target="https://www.lavrpack.ru/catalog/?product=830b318c-f820-11f0-ab4d-22344d083d2c%23bdba575d-f820-11f0-ab4d-22344d083d2c" TargetMode="External"/><Relationship Id="rId_hyperlink_163" Type="http://schemas.openxmlformats.org/officeDocument/2006/relationships/hyperlink" Target="https://www.lavrpack.ru/catalog/?product=830b318c-f820-11f0-ab4d-22344d083d2c%23dd85b2d7-f820-11f0-ab4d-22344d083d2c" TargetMode="External"/><Relationship Id="rId_hyperlink_164" Type="http://schemas.openxmlformats.org/officeDocument/2006/relationships/hyperlink" Target="https://www.lavrpack.ru/catalog/?product=830b318c-f820-11f0-ab4d-22344d083d2c%23e3effee4-f820-11f0-ab4d-22344d083d2c" TargetMode="External"/><Relationship Id="rId_hyperlink_165" Type="http://schemas.openxmlformats.org/officeDocument/2006/relationships/hyperlink" Target="https://www.lavrpack.ru/catalog/?product=830b318c-f820-11f0-ab4d-22344d083d2c%23f650caf1-f820-11f0-ab4d-22344d083d2c" TargetMode="External"/><Relationship Id="rId_hyperlink_166" Type="http://schemas.openxmlformats.org/officeDocument/2006/relationships/hyperlink" Target="https://www.lavrpack.ru/catalog/?product=61e0d6d7-f824-11f0-ab4d-22344d083d2c%23a0f41db3-f824-11f0-ab4d-22344d083d2c" TargetMode="External"/><Relationship Id="rId_hyperlink_167" Type="http://schemas.openxmlformats.org/officeDocument/2006/relationships/hyperlink" Target="https://www.lavrpack.ru/catalog/?product=61e0d6d7-f824-11f0-ab4d-22344d083d2c%2398b54fc4-f824-11f0-ab4d-22344d083d2c" TargetMode="External"/><Relationship Id="rId_hyperlink_168" Type="http://schemas.openxmlformats.org/officeDocument/2006/relationships/hyperlink" Target="https://www.lavrpack.ru/catalog/?product=61e0d6d7-f824-11f0-ab4d-22344d083d2c%23777aabad-f824-11f0-ab4d-22344d083d2c" TargetMode="External"/><Relationship Id="rId_hyperlink_169" Type="http://schemas.openxmlformats.org/officeDocument/2006/relationships/hyperlink" Target="https://www.lavrpack.ru/catalog/?product=61e0d6d7-f824-11f0-ab4d-22344d083d2c%238468e2b4-f824-11f0-ab4d-22344d083d2c" TargetMode="External"/><Relationship Id="rId_hyperlink_170" Type="http://schemas.openxmlformats.org/officeDocument/2006/relationships/hyperlink" Target="https://www.lavrpack.ru/catalog/?product=61e0d6d7-f824-11f0-ab4d-22344d083d2c%23c81aa73c-f824-11f0-ab4d-22344d083d2c" TargetMode="External"/><Relationship Id="rId_hyperlink_171" Type="http://schemas.openxmlformats.org/officeDocument/2006/relationships/hyperlink" Target="https://www.lavrpack.ru/catalog/?product=61e0d6d7-f824-11f0-ab4d-22344d083d2c%23d053861c-f824-11f0-ab4d-22344d083d2c" TargetMode="External"/><Relationship Id="rId_hyperlink_172" Type="http://schemas.openxmlformats.org/officeDocument/2006/relationships/hyperlink" Target="https://www.lavrpack.ru/catalog/?product=61e0d6d7-f824-11f0-ab4d-22344d083d2c%23b3a1caa6-f824-11f0-ab4d-22344d083d2c" TargetMode="External"/><Relationship Id="rId_hyperlink_173" Type="http://schemas.openxmlformats.org/officeDocument/2006/relationships/hyperlink" Target="https://www.lavrpack.ru/catalog/?product=61e0d6d7-f824-11f0-ab4d-22344d083d2c%23ba7c40ec-f824-11f0-ab4d-22344d083d2c" TargetMode="External"/><Relationship Id="rId_hyperlink_174" Type="http://schemas.openxmlformats.org/officeDocument/2006/relationships/hyperlink" Target="https://www.lavrpack.ru/catalog/?product=61e0d6d7-f824-11f0-ab4d-22344d083d2c%2328a20409-f825-11f0-ab4d-22344d083d2c" TargetMode="External"/><Relationship Id="rId_hyperlink_175" Type="http://schemas.openxmlformats.org/officeDocument/2006/relationships/hyperlink" Target="https://www.lavrpack.ru/catalog/?product=01fafeb1-231a-11ef-a0dd-00e01a6800eb%230bca4a84-231a-11ef-a0dd-00e01a6800eb" TargetMode="External"/><Relationship Id="rId_hyperlink_176" Type="http://schemas.openxmlformats.org/officeDocument/2006/relationships/hyperlink" Target="https://www.lavrpack.ru/catalog/?product=01fafeb1-231a-11ef-a0dd-00e01a6800eb%231329edba-231a-11ef-a0dd-00e01a6800eb" TargetMode="External"/><Relationship Id="rId_hyperlink_177" Type="http://schemas.openxmlformats.org/officeDocument/2006/relationships/hyperlink" Target="https://www.lavrpack.ru/catalog/?product=f05619bb-173b-11ee-8f7e-00e01a6800eb" TargetMode="External"/><Relationship Id="rId_hyperlink_178" Type="http://schemas.openxmlformats.org/officeDocument/2006/relationships/hyperlink" Target="https://www.lavrpack.ru/catalog/?product=0a664b23-173c-11ee-8f7e-00e01a6800eb" TargetMode="External"/><Relationship Id="rId_hyperlink_179" Type="http://schemas.openxmlformats.org/officeDocument/2006/relationships/hyperlink" Target="https://www.lavrpack.ru/catalog/?product=89b88b1c-4d0a-11f0-ab41-22344d083d2c%239d98ddd3-4d0b-11f0-ab41-22344d083d2c" TargetMode="External"/><Relationship Id="rId_hyperlink_180" Type="http://schemas.openxmlformats.org/officeDocument/2006/relationships/hyperlink" Target="https://www.lavrpack.ru/catalog/?product=89b88b1c-4d0a-11f0-ab41-22344d083d2c%2396a090f0-4d0b-11f0-ab41-22344d083d2c" TargetMode="External"/><Relationship Id="rId_hyperlink_181" Type="http://schemas.openxmlformats.org/officeDocument/2006/relationships/hyperlink" Target="https://www.lavrpack.ru/catalog/?product=89b88b1c-4d0a-11f0-ab41-22344d083d2c%230ba4559c-4d0b-11f0-ab41-22344d083d2c" TargetMode="External"/><Relationship Id="rId_hyperlink_182" Type="http://schemas.openxmlformats.org/officeDocument/2006/relationships/hyperlink" Target="https://www.lavrpack.ru/catalog/?product=89b88b1c-4d0a-11f0-ab41-22344d083d2c%232488b6ae-4d0b-11f0-ab41-22344d083d2c" TargetMode="External"/><Relationship Id="rId_hyperlink_183" Type="http://schemas.openxmlformats.org/officeDocument/2006/relationships/hyperlink" Target="https://www.lavrpack.ru/catalog/?product=89b88b1c-4d0a-11f0-ab41-22344d083d2c%2317fc6d7a-4d0b-11f0-ab41-22344d083d2c" TargetMode="External"/><Relationship Id="rId_hyperlink_184" Type="http://schemas.openxmlformats.org/officeDocument/2006/relationships/hyperlink" Target="https://www.lavrpack.ru/catalog/?product=89b88b1c-4d0a-11f0-ab41-22344d083d2c%239f639495-4d0a-11f0-ab41-22344d083d2c" TargetMode="External"/><Relationship Id="rId_hyperlink_185" Type="http://schemas.openxmlformats.org/officeDocument/2006/relationships/hyperlink" Target="https://www.lavrpack.ru/catalog/?product=89b88b1c-4d0a-11f0-ab41-22344d083d2c%23c6f8d06b-4d0a-11f0-ab41-22344d083d2c" TargetMode="External"/><Relationship Id="rId_hyperlink_186" Type="http://schemas.openxmlformats.org/officeDocument/2006/relationships/hyperlink" Target="https://www.lavrpack.ru/catalog/?product=89b88b1c-4d0a-11f0-ab41-22344d083d2c%23ad3f8d41-4d0a-11f0-ab41-22344d083d2c" TargetMode="External"/><Relationship Id="rId_hyperlink_187" Type="http://schemas.openxmlformats.org/officeDocument/2006/relationships/hyperlink" Target="https://www.lavrpack.ru/catalog/?product=89b88b1c-4d0a-11f0-ab41-22344d083d2c%2349bd0ec8-4d0b-11f0-ab41-22344d083d2c" TargetMode="External"/><Relationship Id="rId_hyperlink_188" Type="http://schemas.openxmlformats.org/officeDocument/2006/relationships/hyperlink" Target="https://www.lavrpack.ru/catalog/?product=89b88b1c-4d0a-11f0-ab41-22344d083d2c%237a6fa018-4a16-11f1-ab50-22344d083d2c" TargetMode="External"/><Relationship Id="rId_hyperlink_189" Type="http://schemas.openxmlformats.org/officeDocument/2006/relationships/hyperlink" Target="https://www.lavrpack.ru/catalog/?product=89b88b1c-4d0a-11f0-ab41-22344d083d2c%2366222e0f-a8ca-11f0-ab48-22344d083d2c" TargetMode="External"/><Relationship Id="rId_hyperlink_190" Type="http://schemas.openxmlformats.org/officeDocument/2006/relationships/hyperlink" Target="https://www.lavrpack.ru/catalog/?product=89b88b1c-4d0a-11f0-ab41-22344d083d2c%23951672c5-4a16-11f1-ab50-22344d083d2c" TargetMode="External"/><Relationship Id="rId_hyperlink_191" Type="http://schemas.openxmlformats.org/officeDocument/2006/relationships/hyperlink" Target="https://www.lavrpack.ru/catalog/?product=89b88b1c-4d0a-11f0-ab41-22344d083d2c%23d9ff7655-4d0a-11f0-ab41-22344d083d2c" TargetMode="External"/><Relationship Id="rId_hyperlink_192" Type="http://schemas.openxmlformats.org/officeDocument/2006/relationships/hyperlink" Target="https://www.lavrpack.ru/catalog/?product=89b88b1c-4d0a-11f0-ab41-22344d083d2c%23eceb8528-4d0a-11f0-ab41-22344d083d2c" TargetMode="External"/><Relationship Id="rId_hyperlink_193" Type="http://schemas.openxmlformats.org/officeDocument/2006/relationships/hyperlink" Target="https://www.lavrpack.ru/catalog/?product=89b88b1c-4d0a-11f0-ab41-22344d083d2c%23e0978c13-4d0a-11f0-ab41-22344d083d2c" TargetMode="External"/><Relationship Id="rId_hyperlink_194" Type="http://schemas.openxmlformats.org/officeDocument/2006/relationships/hyperlink" Target="https://www.lavrpack.ru/catalog/?product=fc3dcfd6-928f-11ee-a8ad-00e01a6800eb%230a5d9a5f-9290-11ee-a8ad-00e01a6800eb" TargetMode="External"/><Relationship Id="rId_hyperlink_195" Type="http://schemas.openxmlformats.org/officeDocument/2006/relationships/hyperlink" Target="https://www.lavrpack.ru/catalog/?product=1dd9e9f7-447c-11ed-8758-00e01a6800eb" TargetMode="External"/><Relationship Id="rId_hyperlink_196" Type="http://schemas.openxmlformats.org/officeDocument/2006/relationships/hyperlink" Target="https://www.lavrpack.ru/catalog/?product=80a42cd9-7f2c-11ec-b73f-0018e40a3af2" TargetMode="External"/><Relationship Id="rId_hyperlink_197" Type="http://schemas.openxmlformats.org/officeDocument/2006/relationships/hyperlink" Target="https://www.lavrpack.ru/catalog/?product=58c68ca1-bc66-11ef-ab3b-22344d083d2c%2387862be9-bc66-11ef-ab3b-22344d083d2c" TargetMode="External"/><Relationship Id="rId_hyperlink_198" Type="http://schemas.openxmlformats.org/officeDocument/2006/relationships/hyperlink" Target="https://www.lavrpack.ru/catalog/?product=58c68ca1-bc66-11ef-ab3b-22344d083d2c%23aaaf6653-bc66-11ef-ab3b-22344d083d2c" TargetMode="External"/><Relationship Id="rId_hyperlink_199" Type="http://schemas.openxmlformats.org/officeDocument/2006/relationships/hyperlink" Target="https://www.lavrpack.ru/catalog/?product=4193271d-b697-11ee-baea-00e01a6800eb%2371d2eb8a-b697-11ee-baea-00e01a6800eb" TargetMode="External"/><Relationship Id="rId_hyperlink_200" Type="http://schemas.openxmlformats.org/officeDocument/2006/relationships/hyperlink" Target="https://www.lavrpack.ru/catalog/?product=a18d4e69-76da-11ed-bb4b-00e01a6800eb" TargetMode="External"/><Relationship Id="rId_hyperlink_201" Type="http://schemas.openxmlformats.org/officeDocument/2006/relationships/hyperlink" Target="https://www.lavrpack.ru/catalog/?product=d3dd8454-76da-11ed-bb4b-00e01a6800eb" TargetMode="External"/><Relationship Id="rId_hyperlink_202" Type="http://schemas.openxmlformats.org/officeDocument/2006/relationships/hyperlink" Target="https://www.lavrpack.ru/catalog/?product=e1bfc7fa-ed2a-11ef-ab3d-22344d083d2c" TargetMode="External"/><Relationship Id="rId_hyperlink_203" Type="http://schemas.openxmlformats.org/officeDocument/2006/relationships/hyperlink" Target="https://www.lavrpack.ru/catalog/?product=b9827e91-ed2c-11ef-ab3d-22344d083d2c" TargetMode="External"/><Relationship Id="rId_hyperlink_204" Type="http://schemas.openxmlformats.org/officeDocument/2006/relationships/hyperlink" Target="https://www.lavrpack.ru/catalog/?product=5bc9e248-ed2d-11ef-ab3d-22344d083d2c" TargetMode="External"/><Relationship Id="rId_hyperlink_205" Type="http://schemas.openxmlformats.org/officeDocument/2006/relationships/hyperlink" Target="https://www.lavrpack.ru/catalog/?product=89362158-9cd9-11ef-ab3b-22344d083d2c%230ab1f749-9cda-11ef-ab3b-22344d083d2c" TargetMode="External"/><Relationship Id="rId_hyperlink_206" Type="http://schemas.openxmlformats.org/officeDocument/2006/relationships/hyperlink" Target="https://www.lavrpack.ru/catalog/?product=89362158-9cd9-11ef-ab3b-22344d083d2c%2304ab634e-9cda-11ef-ab3b-22344d083d2c" TargetMode="External"/><Relationship Id="rId_hyperlink_207" Type="http://schemas.openxmlformats.org/officeDocument/2006/relationships/hyperlink" Target="https://www.lavrpack.ru/catalog/?product=89362158-9cd9-11ef-ab3b-22344d083d2c%2322e27de5-9cda-11ef-ab3b-22344d083d2c" TargetMode="External"/><Relationship Id="rId_hyperlink_208" Type="http://schemas.openxmlformats.org/officeDocument/2006/relationships/hyperlink" Target="https://www.lavrpack.ru/catalog/?product=89362158-9cd9-11ef-ab3b-22344d083d2c%23f8a3413c-9cd9-11ef-ab3b-22344d083d2c" TargetMode="External"/><Relationship Id="rId_hyperlink_209" Type="http://schemas.openxmlformats.org/officeDocument/2006/relationships/hyperlink" Target="https://www.lavrpack.ru/catalog/?product=89362158-9cd9-11ef-ab3b-22344d083d2c%23feae824e-9cd9-11ef-ab3b-22344d083d2c" TargetMode="External"/><Relationship Id="rId_hyperlink_210" Type="http://schemas.openxmlformats.org/officeDocument/2006/relationships/hyperlink" Target="https://www.lavrpack.ru/catalog/?product=89362158-9cd9-11ef-ab3b-22344d083d2c%231cc6cdc7-9cda-11ef-ab3b-22344d083d2c" TargetMode="External"/><Relationship Id="rId_hyperlink_211" Type="http://schemas.openxmlformats.org/officeDocument/2006/relationships/hyperlink" Target="https://www.lavrpack.ru/catalog/?product=89362158-9cd9-11ef-ab3b-22344d083d2c%231cc6cc2b-9cda-11ef-ab3b-22344d083d2c" TargetMode="External"/><Relationship Id="rId_hyperlink_212" Type="http://schemas.openxmlformats.org/officeDocument/2006/relationships/hyperlink" Target="https://www.lavrpack.ru/catalog/?product=89362158-9cd9-11ef-ab3b-22344d083d2c%2310ab4a27-9cda-11ef-ab3b-22344d083d2c" TargetMode="External"/><Relationship Id="rId_hyperlink_213" Type="http://schemas.openxmlformats.org/officeDocument/2006/relationships/hyperlink" Target="https://www.lavrpack.ru/catalog/?product=ff02045f-9ce0-11ef-ab3b-22344d083d2c%232565843f-9ce1-11ef-ab3b-22344d083d2c" TargetMode="External"/><Relationship Id="rId_hyperlink_214" Type="http://schemas.openxmlformats.org/officeDocument/2006/relationships/hyperlink" Target="https://www.lavrpack.ru/catalog/?product=ff02045f-9ce0-11ef-ab3b-22344d083d2c%230b5a9c90-9ce1-11ef-ab3b-22344d083d2c" TargetMode="External"/><Relationship Id="rId_hyperlink_215" Type="http://schemas.openxmlformats.org/officeDocument/2006/relationships/hyperlink" Target="https://www.lavrpack.ru/catalog/?product=ff02045f-9ce0-11ef-ab3b-22344d083d2c%231f561782-9ce1-11ef-ab3b-22344d083d2c" TargetMode="External"/><Relationship Id="rId_hyperlink_216" Type="http://schemas.openxmlformats.org/officeDocument/2006/relationships/hyperlink" Target="https://www.lavrpack.ru/catalog/?product=ff02045f-9ce0-11ef-ab3b-22344d083d2c%2312f3144a-9ce1-11ef-ab3b-22344d083d2c" TargetMode="External"/><Relationship Id="rId_hyperlink_217" Type="http://schemas.openxmlformats.org/officeDocument/2006/relationships/hyperlink" Target="https://www.lavrpack.ru/catalog/?product=ff02045f-9ce0-11ef-ab3b-22344d083d2c%23191fe198-9ce1-11ef-ab3b-22344d083d2c" TargetMode="External"/><Relationship Id="rId_hyperlink_218" Type="http://schemas.openxmlformats.org/officeDocument/2006/relationships/hyperlink" Target="https://www.lavrpack.ru/catalog/?product=ff02045f-9ce0-11ef-ab3b-22344d083d2c%2305315899-9ce1-11ef-ab3b-22344d083d2c" TargetMode="External"/><Relationship Id="rId_hyperlink_219" Type="http://schemas.openxmlformats.org/officeDocument/2006/relationships/hyperlink" Target="https://www.lavrpack.ru/catalog/?product=4b3422c7-9017-11ee-a8ad-00e01a6800eb%236da50bbe-9017-11ee-a8ad-00e01a6800eb" TargetMode="External"/><Relationship Id="rId_hyperlink_220" Type="http://schemas.openxmlformats.org/officeDocument/2006/relationships/hyperlink" Target="https://www.lavrpack.ru/catalog/?product=4b3422c7-9017-11ee-a8ad-00e01a6800eb%235a0b3733-9017-11ee-a8ad-00e01a6800eb" TargetMode="External"/><Relationship Id="rId_hyperlink_221" Type="http://schemas.openxmlformats.org/officeDocument/2006/relationships/hyperlink" Target="https://www.lavrpack.ru/catalog/?product=0cb9dace-7f2b-11ec-b73f-0018e40a3af2" TargetMode="External"/><Relationship Id="rId_hyperlink_222" Type="http://schemas.openxmlformats.org/officeDocument/2006/relationships/hyperlink" Target="https://www.lavrpack.ru/catalog/?product=e898a47a-7f2b-11ec-b73f-0018e40a3af2" TargetMode="External"/><Relationship Id="rId_hyperlink_223" Type="http://schemas.openxmlformats.org/officeDocument/2006/relationships/hyperlink" Target="https://www.lavrpack.ru/catalog/?product=18cd6034-7f2f-11ec-b73f-0018e40a3af2" TargetMode="External"/><Relationship Id="rId_hyperlink_224" Type="http://schemas.openxmlformats.org/officeDocument/2006/relationships/hyperlink" Target="https://www.lavrpack.ru/catalog/?product=e818fdcd-7f2c-11ec-b73f-0018e40a3af2" TargetMode="External"/><Relationship Id="rId_hyperlink_225" Type="http://schemas.openxmlformats.org/officeDocument/2006/relationships/hyperlink" Target="https://www.lavrpack.ru/catalog/?product=3784496f-7f2c-11ec-b73f-0018e40a3af2" TargetMode="External"/><Relationship Id="rId_hyperlink_226" Type="http://schemas.openxmlformats.org/officeDocument/2006/relationships/hyperlink" Target="https://www.lavrpack.ru/catalog/?product=ee204847-7f2c-11ec-b73f-0018e40a3af2" TargetMode="External"/><Relationship Id="rId_hyperlink_227" Type="http://schemas.openxmlformats.org/officeDocument/2006/relationships/hyperlink" Target="https://www.lavrpack.ru/catalog/?product=ee204858-7f2c-11ec-b73f-0018e40a3af2" TargetMode="External"/><Relationship Id="rId_hyperlink_228" Type="http://schemas.openxmlformats.org/officeDocument/2006/relationships/hyperlink" Target="https://www.lavrpack.ru/catalog/?product=ee20485b-7f2c-11ec-b73f-0018e40a3af2" TargetMode="External"/><Relationship Id="rId_hyperlink_229" Type="http://schemas.openxmlformats.org/officeDocument/2006/relationships/hyperlink" Target="https://www.lavrpack.ru/catalog/?product=f590fc79-a8f4-11f0-ab48-22344d083d2c%239ea42894-4d32-11f1-ab50-22344d083d2c" TargetMode="External"/><Relationship Id="rId_hyperlink_230" Type="http://schemas.openxmlformats.org/officeDocument/2006/relationships/hyperlink" Target="https://www.lavrpack.ru/catalog/?product=f590fc79-a8f4-11f0-ab48-22344d083d2c%230a33ae00-a8f5-11f0-ab48-22344d083d2c" TargetMode="External"/><Relationship Id="rId_hyperlink_231" Type="http://schemas.openxmlformats.org/officeDocument/2006/relationships/hyperlink" Target="https://www.lavrpack.ru/catalog/?product=b7b0fad5-76da-11ed-bb4b-00e01a6800eb" TargetMode="External"/><Relationship Id="rId_hyperlink_232" Type="http://schemas.openxmlformats.org/officeDocument/2006/relationships/hyperlink" Target="https://www.lavrpack.ru/catalog/?product=052378f2-a8f1-11f0-ab48-22344d083d2c%2319339c55-a8f1-11f0-ab48-22344d083d2c" TargetMode="External"/><Relationship Id="rId_hyperlink_233" Type="http://schemas.openxmlformats.org/officeDocument/2006/relationships/hyperlink" Target="https://www.lavrpack.ru/catalog/?product=32eb783a-b6bc-11ee-baea-00e01a6800eb%2349ff8fa2-b6bc-11ee-baea-00e01a6800eb" TargetMode="External"/><Relationship Id="rId_hyperlink_234" Type="http://schemas.openxmlformats.org/officeDocument/2006/relationships/hyperlink" Target="https://www.lavrpack.ru/catalog/?product=a4314b41-7f2d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248"/>
  <sheetViews>
    <sheetView tabSelected="1" workbookViewId="0" showGridLines="true" showRowColHeaders="1">
      <pane ySplit="6" activePane="bottomLeft" state="frozen" topLeftCell="A7"/>
      <selection pane="bottomLeft" activeCell="M7" sqref="M7:M244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IF($G$3="","",SUMPRODUCT(--ISNUMBER(SEARCH($G$3,$B$7:$B$244&amp;" "&amp;$C$7:$C$244&amp;" "&amp;$D$7:$D$244&amp;" "&amp;$E$7:$E$244)))&amp;"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788</v>
      </c>
      <c r="P6" s="40" t="s">
        <v>789</v>
      </c>
      <c r="Q6" s="40" t="s">
        <v>790</v>
      </c>
      <c r="R6" s="40" t="s">
        <v>791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 t="s">
        <v>29</v>
      </c>
      <c r="F8" s="19"/>
      <c r="G8" s="20">
        <v>1.0</v>
      </c>
      <c r="H8" s="21"/>
      <c r="I8" s="21">
        <v>149.0</v>
      </c>
      <c r="J8" s="22">
        <v>332.0</v>
      </c>
      <c r="K8" s="50"/>
      <c r="L8" s="21" t="str">
        <f>IF(K8&gt;0,K8*I8,"")</f>
      </c>
      <c r="M8" s="52"/>
      <c r="N8" t="str">
        <f>IF(K8&gt;0,COUNTIF($K$7:K8,"&gt;0"),"")</f>
      </c>
      <c r="O8" t="s">
        <v>30</v>
      </c>
      <c r="P8" t="s">
        <v>26</v>
      </c>
      <c r="Q8" t="s">
        <v>26</v>
      </c>
    </row>
    <row r="9" spans="1:18" customHeight="1" ht="58">
      <c r="A9" s="16"/>
      <c r="B9" s="18" t="s">
        <v>32</v>
      </c>
      <c r="C9" s="17" t="s">
        <v>33</v>
      </c>
      <c r="D9" s="17"/>
      <c r="E9" s="17"/>
      <c r="F9" s="19"/>
      <c r="G9" s="20">
        <v>1.0</v>
      </c>
      <c r="H9" s="21"/>
      <c r="I9" s="21">
        <v>49.0</v>
      </c>
      <c r="J9" s="22">
        <v>70.0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31</v>
      </c>
      <c r="Q9" t="s">
        <v>31</v>
      </c>
    </row>
    <row r="10" spans="1:18" customHeight="1" ht="58">
      <c r="A10" s="16"/>
      <c r="B10" s="18" t="s">
        <v>36</v>
      </c>
      <c r="C10" s="17" t="s">
        <v>37</v>
      </c>
      <c r="D10" s="17" t="s">
        <v>38</v>
      </c>
      <c r="E10" s="17" t="s">
        <v>39</v>
      </c>
      <c r="F10" s="19"/>
      <c r="G10" s="20">
        <v>1.0</v>
      </c>
      <c r="H10" s="21"/>
      <c r="I10" s="21">
        <v>53.0</v>
      </c>
      <c r="J10" s="22">
        <v>60.0</v>
      </c>
      <c r="K10" s="50"/>
      <c r="L10" s="21" t="str">
        <f>IF(K10&gt;0,K10*I10,"")</f>
      </c>
      <c r="M10" s="52"/>
      <c r="N10" t="str">
        <f>IF(K10&gt;0,COUNTIF($K$7:K10,"&gt;0"),"")</f>
      </c>
      <c r="P10" t="s">
        <v>35</v>
      </c>
      <c r="Q10" t="s">
        <v>35</v>
      </c>
    </row>
    <row r="11" spans="1:18" customHeight="1" ht="58">
      <c r="A11" s="16"/>
      <c r="B11" s="18" t="s">
        <v>41</v>
      </c>
      <c r="C11" s="17" t="s">
        <v>42</v>
      </c>
      <c r="D11" s="17"/>
      <c r="E11" s="17"/>
      <c r="F11" s="19"/>
      <c r="G11" s="20">
        <v>1.0</v>
      </c>
      <c r="H11" s="21"/>
      <c r="I11" s="21"/>
      <c r="J11" s="22">
        <v>26.0</v>
      </c>
      <c r="K11" s="50"/>
      <c r="L11" s="21" t="str">
        <f>IF(K11&gt;0,"по запросу","")</f>
      </c>
      <c r="M11" s="52"/>
      <c r="N11" t="str">
        <f>IF(K11&gt;0,COUNTIF($K$7:K11,"&gt;0"),"")</f>
      </c>
      <c r="O11" t="s">
        <v>43</v>
      </c>
      <c r="P11" t="s">
        <v>40</v>
      </c>
      <c r="Q11" t="s">
        <v>40</v>
      </c>
    </row>
    <row r="12" spans="1:18" customHeight="1" ht="58">
      <c r="A12" s="16"/>
      <c r="B12" s="18" t="s">
        <v>41</v>
      </c>
      <c r="C12" s="17" t="s">
        <v>45</v>
      </c>
      <c r="D12" s="17"/>
      <c r="E12" s="17"/>
      <c r="F12" s="19"/>
      <c r="G12" s="20">
        <v>1.0</v>
      </c>
      <c r="H12" s="21"/>
      <c r="I12" s="21">
        <v>73.0</v>
      </c>
      <c r="J12" s="22">
        <v>140.0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46</v>
      </c>
      <c r="P12" t="s">
        <v>44</v>
      </c>
      <c r="Q12" t="s">
        <v>44</v>
      </c>
    </row>
    <row r="13" spans="1:18" customHeight="1" ht="58">
      <c r="A13" s="16"/>
      <c r="B13" s="18" t="s">
        <v>48</v>
      </c>
      <c r="C13" s="17" t="s">
        <v>49</v>
      </c>
      <c r="D13" s="17" t="s">
        <v>50</v>
      </c>
      <c r="E13" s="17" t="s">
        <v>51</v>
      </c>
      <c r="F13" s="19"/>
      <c r="G13" s="20">
        <v>1.0</v>
      </c>
      <c r="H13" s="21"/>
      <c r="I13" s="21">
        <v>149.0</v>
      </c>
      <c r="J13" s="22">
        <v>78.0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52</v>
      </c>
      <c r="P13" t="s">
        <v>47</v>
      </c>
      <c r="Q13" t="s">
        <v>47</v>
      </c>
    </row>
    <row r="14" spans="1:18" customHeight="1" ht="58">
      <c r="A14" s="16"/>
      <c r="B14" s="18" t="s">
        <v>54</v>
      </c>
      <c r="C14" s="17" t="s">
        <v>55</v>
      </c>
      <c r="D14" s="17"/>
      <c r="E14" s="17"/>
      <c r="F14" s="19"/>
      <c r="G14" s="20">
        <v>1.0</v>
      </c>
      <c r="H14" s="21"/>
      <c r="I14" s="21">
        <v>55.0</v>
      </c>
      <c r="J14" s="22">
        <v>104.0</v>
      </c>
      <c r="K14" s="50"/>
      <c r="L14" s="21" t="str">
        <f>IF(K14&gt;0,K14*I14,"")</f>
      </c>
      <c r="M14" s="52"/>
      <c r="N14" t="str">
        <f>IF(K14&gt;0,COUNTIF($K$7:K14,"&gt;0"),"")</f>
      </c>
      <c r="P14" t="s">
        <v>53</v>
      </c>
      <c r="Q14" t="s">
        <v>53</v>
      </c>
    </row>
    <row r="15" spans="1:18" customHeight="1" ht="58">
      <c r="A15" s="16"/>
      <c r="B15" s="18" t="s">
        <v>54</v>
      </c>
      <c r="C15" s="17" t="s">
        <v>57</v>
      </c>
      <c r="D15" s="17"/>
      <c r="E15" s="17"/>
      <c r="F15" s="19"/>
      <c r="G15" s="20">
        <v>1.0</v>
      </c>
      <c r="H15" s="21"/>
      <c r="I15" s="21">
        <v>81.0</v>
      </c>
      <c r="J15" s="22">
        <v>82.0</v>
      </c>
      <c r="K15" s="50"/>
      <c r="L15" s="21" t="str">
        <f>IF(K15&gt;0,K15*I15,"")</f>
      </c>
      <c r="M15" s="52"/>
      <c r="N15" t="str">
        <f>IF(K15&gt;0,COUNTIF($K$7:K15,"&gt;0"),"")</f>
      </c>
      <c r="P15" t="s">
        <v>56</v>
      </c>
      <c r="Q15" t="s">
        <v>56</v>
      </c>
    </row>
    <row r="16" spans="1:18" customHeight="1" ht="58">
      <c r="A16" s="16"/>
      <c r="B16" s="18" t="s">
        <v>54</v>
      </c>
      <c r="C16" s="17" t="s">
        <v>59</v>
      </c>
      <c r="D16" s="17"/>
      <c r="E16" s="17"/>
      <c r="F16" s="19"/>
      <c r="G16" s="20">
        <v>1.0</v>
      </c>
      <c r="H16" s="21"/>
      <c r="I16" s="21">
        <v>128.0</v>
      </c>
      <c r="J16" s="22">
        <v>206.0</v>
      </c>
      <c r="K16" s="50"/>
      <c r="L16" s="21" t="str">
        <f>IF(K16&gt;0,K16*I16,"")</f>
      </c>
      <c r="M16" s="52"/>
      <c r="N16" t="str">
        <f>IF(K16&gt;0,COUNTIF($K$7:K16,"&gt;0"),"")</f>
      </c>
      <c r="P16" t="s">
        <v>58</v>
      </c>
      <c r="Q16" t="s">
        <v>58</v>
      </c>
    </row>
    <row r="17" spans="1:18" customHeight="1" ht="58">
      <c r="A17" s="16"/>
      <c r="B17" s="18" t="s">
        <v>61</v>
      </c>
      <c r="C17" s="17" t="s">
        <v>62</v>
      </c>
      <c r="D17" s="17"/>
      <c r="E17" s="17"/>
      <c r="F17" s="19"/>
      <c r="G17" s="20">
        <v>1.0</v>
      </c>
      <c r="H17" s="21"/>
      <c r="I17" s="21">
        <v>60.0</v>
      </c>
      <c r="J17" s="22">
        <v>1.0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63</v>
      </c>
      <c r="P17" t="s">
        <v>60</v>
      </c>
      <c r="Q17" t="s">
        <v>60</v>
      </c>
    </row>
    <row r="18" spans="1:18" customHeight="1" ht="58">
      <c r="A18" s="16"/>
      <c r="B18" s="18" t="s">
        <v>65</v>
      </c>
      <c r="C18" s="17" t="s">
        <v>66</v>
      </c>
      <c r="D18" s="17"/>
      <c r="E18" s="17"/>
      <c r="F18" s="19"/>
      <c r="G18" s="20">
        <v>1.0</v>
      </c>
      <c r="H18" s="21"/>
      <c r="I18" s="21">
        <v>58.0</v>
      </c>
      <c r="J18" s="22">
        <v>149.0</v>
      </c>
      <c r="K18" s="50"/>
      <c r="L18" s="21" t="str">
        <f>IF(K18&gt;0,K18*I18,"")</f>
      </c>
      <c r="M18" s="52"/>
      <c r="N18" t="str">
        <f>IF(K18&gt;0,COUNTIF($K$7:K18,"&gt;0"),"")</f>
      </c>
      <c r="P18" t="s">
        <v>64</v>
      </c>
      <c r="Q18" t="s">
        <v>64</v>
      </c>
    </row>
    <row r="19" spans="1:18" customHeight="1" ht="58">
      <c r="A19" s="16"/>
      <c r="B19" s="18" t="s">
        <v>65</v>
      </c>
      <c r="C19" s="17" t="s">
        <v>68</v>
      </c>
      <c r="D19" s="17"/>
      <c r="E19" s="17"/>
      <c r="F19" s="19"/>
      <c r="G19" s="20">
        <v>1.0</v>
      </c>
      <c r="H19" s="21"/>
      <c r="I19" s="21">
        <v>68.0</v>
      </c>
      <c r="J19" s="22">
        <v>237.0</v>
      </c>
      <c r="K19" s="50"/>
      <c r="L19" s="21" t="str">
        <f>IF(K19&gt;0,K19*I19,"")</f>
      </c>
      <c r="M19" s="52"/>
      <c r="N19" t="str">
        <f>IF(K19&gt;0,COUNTIF($K$7:K19,"&gt;0"),"")</f>
      </c>
      <c r="P19" t="s">
        <v>67</v>
      </c>
      <c r="Q19" t="s">
        <v>67</v>
      </c>
    </row>
    <row r="20" spans="1:18" customHeight="1" ht="58">
      <c r="A20" s="16"/>
      <c r="B20" s="18" t="s">
        <v>70</v>
      </c>
      <c r="C20" s="17" t="s">
        <v>71</v>
      </c>
      <c r="D20" s="17"/>
      <c r="E20" s="17"/>
      <c r="F20" s="19"/>
      <c r="G20" s="20">
        <v>1.0</v>
      </c>
      <c r="H20" s="21"/>
      <c r="I20" s="21">
        <v>124.0</v>
      </c>
      <c r="J20" s="22">
        <v>6.0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72</v>
      </c>
      <c r="P20" t="s">
        <v>69</v>
      </c>
      <c r="Q20" t="s">
        <v>69</v>
      </c>
    </row>
    <row r="21" spans="1:18" customHeight="1" ht="58">
      <c r="A21" s="16"/>
      <c r="B21" s="18" t="s">
        <v>70</v>
      </c>
      <c r="C21" s="17" t="s">
        <v>74</v>
      </c>
      <c r="D21" s="17"/>
      <c r="E21" s="17"/>
      <c r="F21" s="19"/>
      <c r="G21" s="20">
        <v>1.0</v>
      </c>
      <c r="H21" s="21"/>
      <c r="I21" s="21">
        <v>124.0</v>
      </c>
      <c r="J21" s="22">
        <v>68.0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75</v>
      </c>
      <c r="P21" t="s">
        <v>73</v>
      </c>
      <c r="Q21" t="s">
        <v>73</v>
      </c>
    </row>
    <row r="22" spans="1:18" customHeight="1" ht="58">
      <c r="A22" s="16"/>
      <c r="B22" s="18" t="s">
        <v>70</v>
      </c>
      <c r="C22" s="17" t="s">
        <v>77</v>
      </c>
      <c r="D22" s="17"/>
      <c r="E22" s="17"/>
      <c r="F22" s="19"/>
      <c r="G22" s="20">
        <v>1.0</v>
      </c>
      <c r="H22" s="21"/>
      <c r="I22" s="21">
        <v>124.0</v>
      </c>
      <c r="J22" s="22">
        <v>38.0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78</v>
      </c>
      <c r="P22" t="s">
        <v>76</v>
      </c>
      <c r="Q22" t="s">
        <v>76</v>
      </c>
    </row>
    <row r="23" spans="1:18" customHeight="1" ht="58">
      <c r="A23" s="16"/>
      <c r="B23" s="18" t="s">
        <v>70</v>
      </c>
      <c r="C23" s="17" t="s">
        <v>80</v>
      </c>
      <c r="D23" s="17"/>
      <c r="E23" s="17"/>
      <c r="F23" s="19"/>
      <c r="G23" s="20">
        <v>1.0</v>
      </c>
      <c r="H23" s="21"/>
      <c r="I23" s="21">
        <v>124.0</v>
      </c>
      <c r="J23" s="22">
        <v>30.0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81</v>
      </c>
      <c r="P23" t="s">
        <v>79</v>
      </c>
      <c r="Q23" t="s">
        <v>79</v>
      </c>
    </row>
    <row r="24" spans="1:18" customHeight="1" ht="58">
      <c r="A24" s="16"/>
      <c r="B24" s="18" t="s">
        <v>83</v>
      </c>
      <c r="C24" s="17" t="s">
        <v>84</v>
      </c>
      <c r="D24" s="17"/>
      <c r="E24" s="17"/>
      <c r="F24" s="19"/>
      <c r="G24" s="20">
        <v>1.0</v>
      </c>
      <c r="H24" s="21"/>
      <c r="I24" s="21">
        <v>994.0</v>
      </c>
      <c r="J24" s="22">
        <v>21.0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85</v>
      </c>
      <c r="P24" t="s">
        <v>82</v>
      </c>
      <c r="Q24" t="s">
        <v>82</v>
      </c>
    </row>
    <row r="25" spans="1:18" customHeight="1" ht="58">
      <c r="A25" s="16"/>
      <c r="B25" s="18" t="s">
        <v>87</v>
      </c>
      <c r="C25" s="17" t="s">
        <v>88</v>
      </c>
      <c r="D25" s="17"/>
      <c r="E25" s="17"/>
      <c r="F25" s="19"/>
      <c r="G25" s="20">
        <v>1.0</v>
      </c>
      <c r="H25" s="21"/>
      <c r="I25" s="21">
        <v>166.0</v>
      </c>
      <c r="J25" s="22">
        <v>2.0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89</v>
      </c>
      <c r="P25" t="s">
        <v>86</v>
      </c>
      <c r="Q25" t="s">
        <v>86</v>
      </c>
    </row>
    <row r="26" spans="1:18" customHeight="1" ht="58">
      <c r="A26" s="16"/>
      <c r="B26" s="18" t="s">
        <v>91</v>
      </c>
      <c r="C26" s="17" t="s">
        <v>92</v>
      </c>
      <c r="D26" s="17"/>
      <c r="E26" s="17"/>
      <c r="F26" s="19"/>
      <c r="G26" s="20">
        <v>1.0</v>
      </c>
      <c r="H26" s="21"/>
      <c r="I26" s="21">
        <v>185.0</v>
      </c>
      <c r="J26" s="22">
        <v>577.0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93</v>
      </c>
      <c r="P26" t="s">
        <v>90</v>
      </c>
      <c r="Q26" t="s">
        <v>90</v>
      </c>
    </row>
    <row r="27" spans="1:18" customHeight="1" ht="58">
      <c r="A27" s="16"/>
      <c r="B27" s="18" t="s">
        <v>95</v>
      </c>
      <c r="C27" s="17" t="s">
        <v>96</v>
      </c>
      <c r="D27" s="17"/>
      <c r="E27" s="17"/>
      <c r="F27" s="19"/>
      <c r="G27" s="20">
        <v>1.0</v>
      </c>
      <c r="H27" s="21"/>
      <c r="I27" s="21">
        <v>670.0</v>
      </c>
      <c r="J27" s="22">
        <v>23.0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97</v>
      </c>
      <c r="P27" t="s">
        <v>94</v>
      </c>
      <c r="Q27" t="s">
        <v>94</v>
      </c>
    </row>
    <row r="28" spans="1:18" customHeight="1" ht="58">
      <c r="A28" s="16"/>
      <c r="B28" s="18" t="s">
        <v>95</v>
      </c>
      <c r="C28" s="17" t="s">
        <v>99</v>
      </c>
      <c r="D28" s="17"/>
      <c r="E28" s="17"/>
      <c r="F28" s="19"/>
      <c r="G28" s="20">
        <v>1.0</v>
      </c>
      <c r="H28" s="21"/>
      <c r="I28" s="21">
        <v>670.0</v>
      </c>
      <c r="J28" s="22">
        <v>29.0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100</v>
      </c>
      <c r="P28" t="s">
        <v>98</v>
      </c>
      <c r="Q28" t="s">
        <v>98</v>
      </c>
    </row>
    <row r="29" spans="1:18" customHeight="1" ht="58">
      <c r="A29" s="16"/>
      <c r="B29" s="18" t="s">
        <v>102</v>
      </c>
      <c r="C29" s="17" t="s">
        <v>103</v>
      </c>
      <c r="D29" s="17"/>
      <c r="E29" s="17"/>
      <c r="F29" s="19"/>
      <c r="G29" s="20">
        <v>1.0</v>
      </c>
      <c r="H29" s="21"/>
      <c r="I29" s="21">
        <v>670.0</v>
      </c>
      <c r="J29" s="22">
        <v>53.0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104</v>
      </c>
      <c r="P29" t="s">
        <v>101</v>
      </c>
      <c r="Q29" t="s">
        <v>101</v>
      </c>
    </row>
    <row r="30" spans="1:18" customHeight="1" ht="58">
      <c r="A30" s="16"/>
      <c r="B30" s="18" t="s">
        <v>102</v>
      </c>
      <c r="C30" s="17" t="s">
        <v>106</v>
      </c>
      <c r="D30" s="17"/>
      <c r="E30" s="17"/>
      <c r="F30" s="19"/>
      <c r="G30" s="20">
        <v>1.0</v>
      </c>
      <c r="H30" s="21"/>
      <c r="I30" s="21">
        <v>670.0</v>
      </c>
      <c r="J30" s="22">
        <v>49.0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107</v>
      </c>
      <c r="P30" t="s">
        <v>105</v>
      </c>
      <c r="Q30" t="s">
        <v>105</v>
      </c>
    </row>
    <row r="31" spans="1:18" customHeight="1" ht="58">
      <c r="A31" s="16"/>
      <c r="B31" s="18" t="s">
        <v>102</v>
      </c>
      <c r="C31" s="17" t="s">
        <v>109</v>
      </c>
      <c r="D31" s="17"/>
      <c r="E31" s="17"/>
      <c r="F31" s="19"/>
      <c r="G31" s="20">
        <v>1.0</v>
      </c>
      <c r="H31" s="21"/>
      <c r="I31" s="21">
        <v>670.0</v>
      </c>
      <c r="J31" s="22">
        <v>39.0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110</v>
      </c>
      <c r="P31" t="s">
        <v>108</v>
      </c>
      <c r="Q31" t="s">
        <v>108</v>
      </c>
    </row>
    <row r="32" spans="1:18" customHeight="1" ht="58">
      <c r="A32" s="16"/>
      <c r="B32" s="18" t="s">
        <v>112</v>
      </c>
      <c r="C32" s="17" t="s">
        <v>113</v>
      </c>
      <c r="D32" s="17"/>
      <c r="E32" s="17"/>
      <c r="F32" s="19"/>
      <c r="G32" s="20">
        <v>1.0</v>
      </c>
      <c r="H32" s="21"/>
      <c r="I32" s="21">
        <v>128.0</v>
      </c>
      <c r="J32" s="22">
        <v>66.0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114</v>
      </c>
      <c r="P32" t="s">
        <v>111</v>
      </c>
      <c r="Q32" t="s">
        <v>111</v>
      </c>
    </row>
    <row r="33" spans="1:18" customHeight="1" ht="58">
      <c r="A33" s="16"/>
      <c r="B33" s="18" t="s">
        <v>112</v>
      </c>
      <c r="C33" s="17" t="s">
        <v>116</v>
      </c>
      <c r="D33" s="17"/>
      <c r="E33" s="17"/>
      <c r="F33" s="19"/>
      <c r="G33" s="20">
        <v>1.0</v>
      </c>
      <c r="H33" s="21"/>
      <c r="I33" s="21">
        <v>128.0</v>
      </c>
      <c r="J33" s="22">
        <v>68.0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117</v>
      </c>
      <c r="P33" t="s">
        <v>115</v>
      </c>
      <c r="Q33" t="s">
        <v>115</v>
      </c>
    </row>
    <row r="34" spans="1:18" customHeight="1" ht="58">
      <c r="A34" s="16"/>
      <c r="B34" s="18" t="s">
        <v>112</v>
      </c>
      <c r="C34" s="17" t="s">
        <v>119</v>
      </c>
      <c r="D34" s="17"/>
      <c r="E34" s="17"/>
      <c r="F34" s="19"/>
      <c r="G34" s="20">
        <v>1.0</v>
      </c>
      <c r="H34" s="21"/>
      <c r="I34" s="21">
        <v>128.0</v>
      </c>
      <c r="J34" s="22">
        <v>40.0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120</v>
      </c>
      <c r="P34" t="s">
        <v>118</v>
      </c>
      <c r="Q34" t="s">
        <v>118</v>
      </c>
    </row>
    <row r="35" spans="1:18" customHeight="1" ht="58">
      <c r="A35" s="16"/>
      <c r="B35" s="18" t="s">
        <v>122</v>
      </c>
      <c r="C35" s="17" t="s">
        <v>123</v>
      </c>
      <c r="D35" s="17"/>
      <c r="E35" s="17"/>
      <c r="F35" s="19"/>
      <c r="G35" s="20">
        <v>1.0</v>
      </c>
      <c r="H35" s="21"/>
      <c r="I35" s="21">
        <v>382.0</v>
      </c>
      <c r="J35" s="22">
        <v>28.0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124</v>
      </c>
      <c r="P35" t="s">
        <v>121</v>
      </c>
      <c r="Q35" t="s">
        <v>121</v>
      </c>
    </row>
    <row r="36" spans="1:18" customHeight="1" ht="58">
      <c r="A36" s="16"/>
      <c r="B36" s="18" t="s">
        <v>126</v>
      </c>
      <c r="C36" s="17" t="s">
        <v>127</v>
      </c>
      <c r="D36" s="17"/>
      <c r="E36" s="17"/>
      <c r="F36" s="19"/>
      <c r="G36" s="20">
        <v>1.0</v>
      </c>
      <c r="H36" s="21"/>
      <c r="I36" s="21">
        <v>107.0</v>
      </c>
      <c r="J36" s="22">
        <v>90.0</v>
      </c>
      <c r="K36" s="50"/>
      <c r="L36" s="21" t="str">
        <f>IF(K36&gt;0,K36*I36,"")</f>
      </c>
      <c r="M36" s="52"/>
      <c r="N36" t="str">
        <f>IF(K36&gt;0,COUNTIF($K$7:K36,"&gt;0"),"")</f>
      </c>
      <c r="P36" t="s">
        <v>125</v>
      </c>
      <c r="Q36" t="s">
        <v>125</v>
      </c>
    </row>
    <row r="37" spans="1:18" customHeight="1" ht="58">
      <c r="A37" s="16"/>
      <c r="B37" s="18" t="s">
        <v>129</v>
      </c>
      <c r="C37" s="17" t="s">
        <v>130</v>
      </c>
      <c r="D37" s="17"/>
      <c r="E37" s="17"/>
      <c r="F37" s="19"/>
      <c r="G37" s="20">
        <v>1.0</v>
      </c>
      <c r="H37" s="21"/>
      <c r="I37" s="21">
        <v>118.0</v>
      </c>
      <c r="J37" s="22">
        <v>90.0</v>
      </c>
      <c r="K37" s="50"/>
      <c r="L37" s="21" t="str">
        <f>IF(K37&gt;0,K37*I37,"")</f>
      </c>
      <c r="M37" s="52"/>
      <c r="N37" t="str">
        <f>IF(K37&gt;0,COUNTIF($K$7:K37,"&gt;0"),"")</f>
      </c>
      <c r="P37" t="s">
        <v>128</v>
      </c>
      <c r="Q37" t="s">
        <v>128</v>
      </c>
    </row>
    <row r="38" spans="1:18" customHeight="1" ht="58">
      <c r="A38" s="16"/>
      <c r="B38" s="18" t="s">
        <v>132</v>
      </c>
      <c r="C38" s="17" t="s">
        <v>133</v>
      </c>
      <c r="D38" s="17" t="s">
        <v>134</v>
      </c>
      <c r="E38" s="17" t="s">
        <v>135</v>
      </c>
      <c r="F38" s="19" t="s">
        <v>136</v>
      </c>
      <c r="G38" s="20">
        <v>10.0</v>
      </c>
      <c r="H38" s="21"/>
      <c r="I38" s="21">
        <v>92.0</v>
      </c>
      <c r="J38" s="22">
        <v>2.0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137</v>
      </c>
      <c r="P38" t="s">
        <v>131</v>
      </c>
      <c r="Q38" t="s">
        <v>131</v>
      </c>
    </row>
    <row r="39" spans="1:18" customHeight="1" ht="58">
      <c r="A39" s="16"/>
      <c r="B39" s="18" t="s">
        <v>139</v>
      </c>
      <c r="C39" s="17" t="s">
        <v>140</v>
      </c>
      <c r="D39" s="17"/>
      <c r="E39" s="17"/>
      <c r="F39" s="19"/>
      <c r="G39" s="20">
        <v>1.0</v>
      </c>
      <c r="H39" s="21"/>
      <c r="I39" s="21">
        <v>107.0</v>
      </c>
      <c r="J39" s="22">
        <v>173.0</v>
      </c>
      <c r="K39" s="50"/>
      <c r="L39" s="21" t="str">
        <f>IF(K39&gt;0,K39*I39,"")</f>
      </c>
      <c r="M39" s="52"/>
      <c r="N39" t="str">
        <f>IF(K39&gt;0,COUNTIF($K$7:K39,"&gt;0"),"")</f>
      </c>
      <c r="P39" t="s">
        <v>138</v>
      </c>
      <c r="Q39" t="s">
        <v>138</v>
      </c>
    </row>
    <row r="40" spans="1:18" customHeight="1" ht="58">
      <c r="A40" s="16"/>
      <c r="B40" s="18" t="s">
        <v>142</v>
      </c>
      <c r="C40" s="17" t="s">
        <v>143</v>
      </c>
      <c r="D40" s="17"/>
      <c r="E40" s="17"/>
      <c r="F40" s="19"/>
      <c r="G40" s="20">
        <v>1.0</v>
      </c>
      <c r="H40" s="21"/>
      <c r="I40" s="21">
        <v>107.0</v>
      </c>
      <c r="J40" s="22">
        <v>7.0</v>
      </c>
      <c r="K40" s="50"/>
      <c r="L40" s="21" t="str">
        <f>IF(K40&gt;0,K40*I40,"")</f>
      </c>
      <c r="M40" s="52"/>
      <c r="N40" t="str">
        <f>IF(K40&gt;0,COUNTIF($K$7:K40,"&gt;0"),"")</f>
      </c>
      <c r="P40" t="s">
        <v>141</v>
      </c>
      <c r="Q40" t="s">
        <v>141</v>
      </c>
    </row>
    <row r="41" spans="1:18" customHeight="1" ht="58">
      <c r="A41" s="16"/>
      <c r="B41" s="18" t="s">
        <v>145</v>
      </c>
      <c r="C41" s="17" t="s">
        <v>146</v>
      </c>
      <c r="D41" s="17"/>
      <c r="E41" s="17"/>
      <c r="F41" s="19"/>
      <c r="G41" s="20">
        <v>1.0</v>
      </c>
      <c r="H41" s="21"/>
      <c r="I41" s="21">
        <v>107.0</v>
      </c>
      <c r="J41" s="22">
        <v>178.0</v>
      </c>
      <c r="K41" s="50"/>
      <c r="L41" s="21" t="str">
        <f>IF(K41&gt;0,K41*I41,"")</f>
      </c>
      <c r="M41" s="52"/>
      <c r="N41" t="str">
        <f>IF(K41&gt;0,COUNTIF($K$7:K41,"&gt;0"),"")</f>
      </c>
      <c r="P41" t="s">
        <v>144</v>
      </c>
      <c r="Q41" t="s">
        <v>144</v>
      </c>
    </row>
    <row r="42" spans="1:18" customHeight="1" ht="58">
      <c r="A42" s="16"/>
      <c r="B42" s="18" t="s">
        <v>148</v>
      </c>
      <c r="C42" s="17" t="s">
        <v>149</v>
      </c>
      <c r="D42" s="17"/>
      <c r="E42" s="17"/>
      <c r="F42" s="19"/>
      <c r="G42" s="20">
        <v>1.0</v>
      </c>
      <c r="H42" s="21"/>
      <c r="I42" s="21">
        <v>107.0</v>
      </c>
      <c r="J42" s="22">
        <v>190.0</v>
      </c>
      <c r="K42" s="50"/>
      <c r="L42" s="21" t="str">
        <f>IF(K42&gt;0,K42*I42,"")</f>
      </c>
      <c r="M42" s="52"/>
      <c r="N42" t="str">
        <f>IF(K42&gt;0,COUNTIF($K$7:K42,"&gt;0"),"")</f>
      </c>
      <c r="P42" t="s">
        <v>147</v>
      </c>
      <c r="Q42" t="s">
        <v>147</v>
      </c>
    </row>
    <row r="43" spans="1:18" customHeight="1" ht="58">
      <c r="A43" s="16"/>
      <c r="B43" s="18" t="s">
        <v>151</v>
      </c>
      <c r="C43" s="17" t="s">
        <v>152</v>
      </c>
      <c r="D43" s="17" t="s">
        <v>153</v>
      </c>
      <c r="E43" s="17" t="s">
        <v>154</v>
      </c>
      <c r="F43" s="19"/>
      <c r="G43" s="20">
        <v>1.0</v>
      </c>
      <c r="H43" s="21"/>
      <c r="I43" s="21">
        <v>191.0</v>
      </c>
      <c r="J43" s="22">
        <v>4861.0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155</v>
      </c>
      <c r="P43" t="s">
        <v>150</v>
      </c>
      <c r="Q43" t="s">
        <v>150</v>
      </c>
    </row>
    <row r="44" spans="1:18" customHeight="1" ht="58">
      <c r="A44" s="16"/>
      <c r="B44" s="18" t="s">
        <v>151</v>
      </c>
      <c r="C44" s="17" t="s">
        <v>152</v>
      </c>
      <c r="D44" s="17" t="s">
        <v>50</v>
      </c>
      <c r="E44" s="17" t="s">
        <v>154</v>
      </c>
      <c r="F44" s="19"/>
      <c r="G44" s="20">
        <v>1.0</v>
      </c>
      <c r="H44" s="21"/>
      <c r="I44" s="21">
        <v>191.0</v>
      </c>
      <c r="J44" s="22">
        <v>4804.0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157</v>
      </c>
      <c r="P44" t="s">
        <v>156</v>
      </c>
      <c r="Q44" t="s">
        <v>156</v>
      </c>
    </row>
    <row r="45" spans="1:18" customHeight="1" ht="58">
      <c r="A45" s="16"/>
      <c r="B45" s="18" t="s">
        <v>159</v>
      </c>
      <c r="C45" s="17" t="s">
        <v>160</v>
      </c>
      <c r="D45" s="17"/>
      <c r="E45" s="17"/>
      <c r="F45" s="19" t="s">
        <v>136</v>
      </c>
      <c r="G45" s="20">
        <v>3.0</v>
      </c>
      <c r="H45" s="21"/>
      <c r="I45" s="21">
        <v>81.0</v>
      </c>
      <c r="J45" s="22">
        <v>45.0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161</v>
      </c>
      <c r="P45" t="s">
        <v>158</v>
      </c>
      <c r="Q45" t="s">
        <v>158</v>
      </c>
    </row>
    <row r="46" spans="1:18" customHeight="1" ht="58">
      <c r="A46" s="16"/>
      <c r="B46" s="18" t="s">
        <v>163</v>
      </c>
      <c r="C46" s="17" t="s">
        <v>164</v>
      </c>
      <c r="D46" s="17"/>
      <c r="E46" s="17"/>
      <c r="F46" s="19" t="s">
        <v>136</v>
      </c>
      <c r="G46" s="20">
        <v>10.0</v>
      </c>
      <c r="H46" s="21"/>
      <c r="I46" s="21">
        <v>70.0</v>
      </c>
      <c r="J46" s="22">
        <v>5.0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165</v>
      </c>
      <c r="P46" t="s">
        <v>162</v>
      </c>
      <c r="Q46" t="s">
        <v>162</v>
      </c>
    </row>
    <row r="47" spans="1:18" customHeight="1" ht="58">
      <c r="A47" s="16"/>
      <c r="B47" s="18" t="s">
        <v>167</v>
      </c>
      <c r="C47" s="17" t="s">
        <v>168</v>
      </c>
      <c r="D47" s="17"/>
      <c r="E47" s="17"/>
      <c r="F47" s="19" t="s">
        <v>136</v>
      </c>
      <c r="G47" s="20">
        <v>10.0</v>
      </c>
      <c r="H47" s="21"/>
      <c r="I47" s="21">
        <v>76.0</v>
      </c>
      <c r="J47" s="22">
        <v>360.0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169</v>
      </c>
      <c r="P47" t="s">
        <v>166</v>
      </c>
      <c r="Q47" t="s">
        <v>166</v>
      </c>
    </row>
    <row r="48" spans="1:18" customHeight="1" ht="58">
      <c r="A48" s="16"/>
      <c r="B48" s="18" t="s">
        <v>167</v>
      </c>
      <c r="C48" s="17" t="s">
        <v>171</v>
      </c>
      <c r="D48" s="17"/>
      <c r="E48" s="17"/>
      <c r="F48" s="19" t="s">
        <v>136</v>
      </c>
      <c r="G48" s="20">
        <v>10.0</v>
      </c>
      <c r="H48" s="21"/>
      <c r="I48" s="21">
        <v>76.0</v>
      </c>
      <c r="J48" s="22">
        <v>12.0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172</v>
      </c>
      <c r="P48" t="s">
        <v>170</v>
      </c>
      <c r="Q48" t="s">
        <v>170</v>
      </c>
    </row>
    <row r="49" spans="1:18" customHeight="1" ht="58">
      <c r="A49" s="16"/>
      <c r="B49" s="18" t="s">
        <v>167</v>
      </c>
      <c r="C49" s="17" t="s">
        <v>174</v>
      </c>
      <c r="D49" s="17"/>
      <c r="E49" s="17"/>
      <c r="F49" s="19" t="s">
        <v>136</v>
      </c>
      <c r="G49" s="20">
        <v>10.0</v>
      </c>
      <c r="H49" s="21"/>
      <c r="I49" s="21">
        <v>76.0</v>
      </c>
      <c r="J49" s="22">
        <v>7.0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175</v>
      </c>
      <c r="P49" t="s">
        <v>173</v>
      </c>
      <c r="Q49" t="s">
        <v>173</v>
      </c>
    </row>
    <row r="50" spans="1:18" customHeight="1" ht="58">
      <c r="A50" s="16"/>
      <c r="B50" s="18" t="s">
        <v>177</v>
      </c>
      <c r="C50" s="17" t="s">
        <v>178</v>
      </c>
      <c r="D50" s="17" t="s">
        <v>179</v>
      </c>
      <c r="E50" s="17" t="s">
        <v>39</v>
      </c>
      <c r="F50" s="19" t="s">
        <v>136</v>
      </c>
      <c r="G50" s="20">
        <v>10.0</v>
      </c>
      <c r="H50" s="21"/>
      <c r="I50" s="21">
        <v>37.0</v>
      </c>
      <c r="J50" s="22">
        <v>1900.0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180</v>
      </c>
      <c r="P50" t="s">
        <v>176</v>
      </c>
      <c r="Q50" t="s">
        <v>176</v>
      </c>
    </row>
    <row r="51" spans="1:18" customHeight="1" ht="58">
      <c r="A51" s="16"/>
      <c r="B51" s="18" t="s">
        <v>177</v>
      </c>
      <c r="C51" s="17" t="s">
        <v>178</v>
      </c>
      <c r="D51" s="17" t="s">
        <v>182</v>
      </c>
      <c r="E51" s="17" t="s">
        <v>39</v>
      </c>
      <c r="F51" s="19" t="s">
        <v>136</v>
      </c>
      <c r="G51" s="20">
        <v>10.0</v>
      </c>
      <c r="H51" s="21"/>
      <c r="I51" s="21">
        <v>37.0</v>
      </c>
      <c r="J51" s="22">
        <v>6840.0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183</v>
      </c>
      <c r="P51" t="s">
        <v>181</v>
      </c>
      <c r="Q51" t="s">
        <v>181</v>
      </c>
    </row>
    <row r="52" spans="1:18" customHeight="1" ht="58">
      <c r="A52" s="16"/>
      <c r="B52" s="18" t="s">
        <v>177</v>
      </c>
      <c r="C52" s="17" t="s">
        <v>178</v>
      </c>
      <c r="D52" s="17" t="s">
        <v>185</v>
      </c>
      <c r="E52" s="17" t="s">
        <v>39</v>
      </c>
      <c r="F52" s="19" t="s">
        <v>136</v>
      </c>
      <c r="G52" s="20">
        <v>10.0</v>
      </c>
      <c r="H52" s="21"/>
      <c r="I52" s="21">
        <v>37.0</v>
      </c>
      <c r="J52" s="22">
        <v>5400.0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186</v>
      </c>
      <c r="P52" t="s">
        <v>184</v>
      </c>
      <c r="Q52" t="s">
        <v>184</v>
      </c>
    </row>
    <row r="53" spans="1:18" customHeight="1" ht="58">
      <c r="A53" s="16"/>
      <c r="B53" s="18" t="s">
        <v>177</v>
      </c>
      <c r="C53" s="17" t="s">
        <v>178</v>
      </c>
      <c r="D53" s="17" t="s">
        <v>188</v>
      </c>
      <c r="E53" s="17" t="s">
        <v>39</v>
      </c>
      <c r="F53" s="19" t="s">
        <v>136</v>
      </c>
      <c r="G53" s="20">
        <v>10.0</v>
      </c>
      <c r="H53" s="21"/>
      <c r="I53" s="21">
        <v>37.0</v>
      </c>
      <c r="J53" s="22">
        <v>2214.0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189</v>
      </c>
      <c r="P53" t="s">
        <v>187</v>
      </c>
      <c r="Q53" t="s">
        <v>187</v>
      </c>
    </row>
    <row r="54" spans="1:18" customHeight="1" ht="58">
      <c r="A54" s="16"/>
      <c r="B54" s="18" t="s">
        <v>177</v>
      </c>
      <c r="C54" s="17" t="s">
        <v>178</v>
      </c>
      <c r="D54" s="17" t="s">
        <v>191</v>
      </c>
      <c r="E54" s="17" t="s">
        <v>39</v>
      </c>
      <c r="F54" s="19" t="s">
        <v>136</v>
      </c>
      <c r="G54" s="20">
        <v>10.0</v>
      </c>
      <c r="H54" s="21"/>
      <c r="I54" s="21">
        <v>37.0</v>
      </c>
      <c r="J54" s="22">
        <v>8120.0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192</v>
      </c>
      <c r="P54" t="s">
        <v>190</v>
      </c>
      <c r="Q54" t="s">
        <v>190</v>
      </c>
    </row>
    <row r="55" spans="1:18" customHeight="1" ht="58">
      <c r="A55" s="16"/>
      <c r="B55" s="18" t="s">
        <v>177</v>
      </c>
      <c r="C55" s="17" t="s">
        <v>178</v>
      </c>
      <c r="D55" s="17" t="s">
        <v>194</v>
      </c>
      <c r="E55" s="17" t="s">
        <v>39</v>
      </c>
      <c r="F55" s="19" t="s">
        <v>136</v>
      </c>
      <c r="G55" s="20">
        <v>10.0</v>
      </c>
      <c r="H55" s="21"/>
      <c r="I55" s="21">
        <v>37.0</v>
      </c>
      <c r="J55" s="22">
        <v>5900.0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195</v>
      </c>
      <c r="P55" t="s">
        <v>193</v>
      </c>
      <c r="Q55" t="s">
        <v>193</v>
      </c>
    </row>
    <row r="56" spans="1:18" customHeight="1" ht="58">
      <c r="A56" s="16"/>
      <c r="B56" s="18" t="s">
        <v>177</v>
      </c>
      <c r="C56" s="17" t="s">
        <v>178</v>
      </c>
      <c r="D56" s="17" t="s">
        <v>197</v>
      </c>
      <c r="E56" s="17" t="s">
        <v>39</v>
      </c>
      <c r="F56" s="19" t="s">
        <v>136</v>
      </c>
      <c r="G56" s="20">
        <v>10.0</v>
      </c>
      <c r="H56" s="21"/>
      <c r="I56" s="21">
        <v>37.0</v>
      </c>
      <c r="J56" s="22">
        <v>8140.0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198</v>
      </c>
      <c r="P56" t="s">
        <v>196</v>
      </c>
      <c r="Q56" t="s">
        <v>196</v>
      </c>
    </row>
    <row r="57" spans="1:18" customHeight="1" ht="58">
      <c r="A57" s="16"/>
      <c r="B57" s="18" t="s">
        <v>177</v>
      </c>
      <c r="C57" s="17" t="s">
        <v>178</v>
      </c>
      <c r="D57" s="17" t="s">
        <v>200</v>
      </c>
      <c r="E57" s="17" t="s">
        <v>39</v>
      </c>
      <c r="F57" s="19" t="s">
        <v>136</v>
      </c>
      <c r="G57" s="20">
        <v>10.0</v>
      </c>
      <c r="H57" s="21"/>
      <c r="I57" s="21">
        <v>37.0</v>
      </c>
      <c r="J57" s="22">
        <v>2370.0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201</v>
      </c>
      <c r="P57" t="s">
        <v>199</v>
      </c>
      <c r="Q57" t="s">
        <v>199</v>
      </c>
    </row>
    <row r="58" spans="1:18" customHeight="1" ht="58">
      <c r="A58" s="16"/>
      <c r="B58" s="18" t="s">
        <v>177</v>
      </c>
      <c r="C58" s="17" t="s">
        <v>178</v>
      </c>
      <c r="D58" s="17" t="s">
        <v>203</v>
      </c>
      <c r="E58" s="17" t="s">
        <v>39</v>
      </c>
      <c r="F58" s="19" t="s">
        <v>136</v>
      </c>
      <c r="G58" s="20">
        <v>10.0</v>
      </c>
      <c r="H58" s="21"/>
      <c r="I58" s="21">
        <v>37.0</v>
      </c>
      <c r="J58" s="22">
        <v>2470.0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204</v>
      </c>
      <c r="P58" t="s">
        <v>202</v>
      </c>
      <c r="Q58" t="s">
        <v>202</v>
      </c>
    </row>
    <row r="59" spans="1:18" customHeight="1" ht="58">
      <c r="A59" s="16"/>
      <c r="B59" s="18" t="s">
        <v>177</v>
      </c>
      <c r="C59" s="17" t="s">
        <v>178</v>
      </c>
      <c r="D59" s="17" t="s">
        <v>206</v>
      </c>
      <c r="E59" s="17" t="s">
        <v>39</v>
      </c>
      <c r="F59" s="19" t="s">
        <v>136</v>
      </c>
      <c r="G59" s="20">
        <v>10.0</v>
      </c>
      <c r="H59" s="21"/>
      <c r="I59" s="21">
        <v>37.0</v>
      </c>
      <c r="J59" s="22">
        <v>2320.0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207</v>
      </c>
      <c r="P59" t="s">
        <v>205</v>
      </c>
      <c r="Q59" t="s">
        <v>205</v>
      </c>
    </row>
    <row r="60" spans="1:18" customHeight="1" ht="58">
      <c r="A60" s="16"/>
      <c r="B60" s="18" t="s">
        <v>177</v>
      </c>
      <c r="C60" s="17" t="s">
        <v>178</v>
      </c>
      <c r="D60" s="17" t="s">
        <v>209</v>
      </c>
      <c r="E60" s="17" t="s">
        <v>39</v>
      </c>
      <c r="F60" s="19" t="s">
        <v>136</v>
      </c>
      <c r="G60" s="20">
        <v>10.0</v>
      </c>
      <c r="H60" s="21"/>
      <c r="I60" s="21">
        <v>37.0</v>
      </c>
      <c r="J60" s="22">
        <v>3760.0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210</v>
      </c>
      <c r="P60" t="s">
        <v>208</v>
      </c>
      <c r="Q60" t="s">
        <v>208</v>
      </c>
    </row>
    <row r="61" spans="1:18" customHeight="1" ht="58">
      <c r="A61" s="16"/>
      <c r="B61" s="18" t="s">
        <v>177</v>
      </c>
      <c r="C61" s="17" t="s">
        <v>178</v>
      </c>
      <c r="D61" s="17" t="s">
        <v>212</v>
      </c>
      <c r="E61" s="17" t="s">
        <v>39</v>
      </c>
      <c r="F61" s="19" t="s">
        <v>136</v>
      </c>
      <c r="G61" s="20">
        <v>10.0</v>
      </c>
      <c r="H61" s="21"/>
      <c r="I61" s="21">
        <v>37.0</v>
      </c>
      <c r="J61" s="22">
        <v>900.0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213</v>
      </c>
      <c r="P61" t="s">
        <v>211</v>
      </c>
      <c r="Q61" t="s">
        <v>211</v>
      </c>
    </row>
    <row r="62" spans="1:18" customHeight="1" ht="58">
      <c r="A62" s="16"/>
      <c r="B62" s="18" t="s">
        <v>177</v>
      </c>
      <c r="C62" s="17" t="s">
        <v>178</v>
      </c>
      <c r="D62" s="17" t="s">
        <v>215</v>
      </c>
      <c r="E62" s="17" t="s">
        <v>39</v>
      </c>
      <c r="F62" s="19" t="s">
        <v>136</v>
      </c>
      <c r="G62" s="20">
        <v>10.0</v>
      </c>
      <c r="H62" s="21"/>
      <c r="I62" s="21">
        <v>37.0</v>
      </c>
      <c r="J62" s="22">
        <v>7180.0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216</v>
      </c>
      <c r="P62" t="s">
        <v>214</v>
      </c>
      <c r="Q62" t="s">
        <v>214</v>
      </c>
    </row>
    <row r="63" spans="1:18" customHeight="1" ht="58">
      <c r="A63" s="16"/>
      <c r="B63" s="18" t="s">
        <v>177</v>
      </c>
      <c r="C63" s="17" t="s">
        <v>178</v>
      </c>
      <c r="D63" s="17" t="s">
        <v>218</v>
      </c>
      <c r="E63" s="17" t="s">
        <v>39</v>
      </c>
      <c r="F63" s="19" t="s">
        <v>136</v>
      </c>
      <c r="G63" s="20">
        <v>10.0</v>
      </c>
      <c r="H63" s="21"/>
      <c r="I63" s="21">
        <v>37.0</v>
      </c>
      <c r="J63" s="22">
        <v>2510.0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219</v>
      </c>
      <c r="P63" t="s">
        <v>217</v>
      </c>
      <c r="Q63" t="s">
        <v>217</v>
      </c>
    </row>
    <row r="64" spans="1:18" customHeight="1" ht="58">
      <c r="A64" s="16"/>
      <c r="B64" s="18" t="s">
        <v>221</v>
      </c>
      <c r="C64" s="17" t="s">
        <v>222</v>
      </c>
      <c r="D64" s="17"/>
      <c r="E64" s="17"/>
      <c r="F64" s="19" t="s">
        <v>136</v>
      </c>
      <c r="G64" s="20">
        <v>10.0</v>
      </c>
      <c r="H64" s="21"/>
      <c r="I64" s="21">
        <v>44.0</v>
      </c>
      <c r="J64" s="22">
        <v>4394.0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223</v>
      </c>
      <c r="P64" t="s">
        <v>220</v>
      </c>
      <c r="Q64" t="s">
        <v>220</v>
      </c>
    </row>
    <row r="65" spans="1:18" customHeight="1" ht="58">
      <c r="A65" s="16"/>
      <c r="B65" s="18" t="s">
        <v>221</v>
      </c>
      <c r="C65" s="17" t="s">
        <v>225</v>
      </c>
      <c r="D65" s="17"/>
      <c r="E65" s="17"/>
      <c r="F65" s="19" t="s">
        <v>136</v>
      </c>
      <c r="G65" s="20">
        <v>10.0</v>
      </c>
      <c r="H65" s="21"/>
      <c r="I65" s="21">
        <v>44.0</v>
      </c>
      <c r="J65" s="22">
        <v>4037.0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226</v>
      </c>
      <c r="P65" t="s">
        <v>224</v>
      </c>
      <c r="Q65" t="s">
        <v>224</v>
      </c>
    </row>
    <row r="66" spans="1:18" customHeight="1" ht="58">
      <c r="A66" s="16"/>
      <c r="B66" s="18" t="s">
        <v>221</v>
      </c>
      <c r="C66" s="17" t="s">
        <v>228</v>
      </c>
      <c r="D66" s="17"/>
      <c r="E66" s="17"/>
      <c r="F66" s="19" t="s">
        <v>136</v>
      </c>
      <c r="G66" s="20">
        <v>10.0</v>
      </c>
      <c r="H66" s="21"/>
      <c r="I66" s="21">
        <v>44.0</v>
      </c>
      <c r="J66" s="22">
        <v>4290.0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229</v>
      </c>
      <c r="P66" t="s">
        <v>227</v>
      </c>
      <c r="Q66" t="s">
        <v>227</v>
      </c>
    </row>
    <row r="67" spans="1:18" customHeight="1" ht="58">
      <c r="A67" s="16"/>
      <c r="B67" s="18" t="s">
        <v>221</v>
      </c>
      <c r="C67" s="17" t="s">
        <v>231</v>
      </c>
      <c r="D67" s="17"/>
      <c r="E67" s="17"/>
      <c r="F67" s="19" t="s">
        <v>136</v>
      </c>
      <c r="G67" s="20">
        <v>10.0</v>
      </c>
      <c r="H67" s="21"/>
      <c r="I67" s="21">
        <v>44.0</v>
      </c>
      <c r="J67" s="22">
        <v>3630.0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232</v>
      </c>
      <c r="P67" t="s">
        <v>230</v>
      </c>
      <c r="Q67" t="s">
        <v>230</v>
      </c>
    </row>
    <row r="68" spans="1:18" customHeight="1" ht="58">
      <c r="A68" s="16"/>
      <c r="B68" s="18" t="s">
        <v>221</v>
      </c>
      <c r="C68" s="17" t="s">
        <v>234</v>
      </c>
      <c r="D68" s="17"/>
      <c r="E68" s="17"/>
      <c r="F68" s="19" t="s">
        <v>136</v>
      </c>
      <c r="G68" s="20">
        <v>10.0</v>
      </c>
      <c r="H68" s="21"/>
      <c r="I68" s="21">
        <v>44.0</v>
      </c>
      <c r="J68" s="22">
        <v>4026.0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235</v>
      </c>
      <c r="P68" t="s">
        <v>233</v>
      </c>
      <c r="Q68" t="s">
        <v>233</v>
      </c>
    </row>
    <row r="69" spans="1:18" customHeight="1" ht="58">
      <c r="A69" s="16"/>
      <c r="B69" s="18" t="s">
        <v>221</v>
      </c>
      <c r="C69" s="17" t="s">
        <v>237</v>
      </c>
      <c r="D69" s="17"/>
      <c r="E69" s="17"/>
      <c r="F69" s="19" t="s">
        <v>136</v>
      </c>
      <c r="G69" s="20">
        <v>10.0</v>
      </c>
      <c r="H69" s="21"/>
      <c r="I69" s="21">
        <v>44.0</v>
      </c>
      <c r="J69" s="22">
        <v>8066.0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238</v>
      </c>
      <c r="P69" t="s">
        <v>236</v>
      </c>
      <c r="Q69" t="s">
        <v>236</v>
      </c>
    </row>
    <row r="70" spans="1:18" customHeight="1" ht="58">
      <c r="A70" s="16"/>
      <c r="B70" s="18" t="s">
        <v>221</v>
      </c>
      <c r="C70" s="17" t="s">
        <v>240</v>
      </c>
      <c r="D70" s="17"/>
      <c r="E70" s="17"/>
      <c r="F70" s="19" t="s">
        <v>136</v>
      </c>
      <c r="G70" s="20">
        <v>10.0</v>
      </c>
      <c r="H70" s="21"/>
      <c r="I70" s="21">
        <v>30.0</v>
      </c>
      <c r="J70" s="22">
        <v>217.0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241</v>
      </c>
      <c r="P70" t="s">
        <v>239</v>
      </c>
      <c r="Q70" t="s">
        <v>239</v>
      </c>
    </row>
    <row r="71" spans="1:18" customHeight="1" ht="58">
      <c r="A71" s="16"/>
      <c r="B71" s="18" t="s">
        <v>243</v>
      </c>
      <c r="C71" s="17" t="s">
        <v>244</v>
      </c>
      <c r="D71" s="17" t="s">
        <v>245</v>
      </c>
      <c r="E71" s="17" t="s">
        <v>246</v>
      </c>
      <c r="F71" s="19" t="s">
        <v>136</v>
      </c>
      <c r="G71" s="20">
        <v>10.0</v>
      </c>
      <c r="H71" s="21"/>
      <c r="I71" s="21">
        <v>33.0</v>
      </c>
      <c r="J71" s="22">
        <v>1970.0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247</v>
      </c>
      <c r="P71" t="s">
        <v>242</v>
      </c>
      <c r="Q71" t="s">
        <v>242</v>
      </c>
    </row>
    <row r="72" spans="1:18" customHeight="1" ht="58">
      <c r="A72" s="16"/>
      <c r="B72" s="18" t="s">
        <v>243</v>
      </c>
      <c r="C72" s="17" t="s">
        <v>244</v>
      </c>
      <c r="D72" s="17" t="s">
        <v>249</v>
      </c>
      <c r="E72" s="17" t="s">
        <v>246</v>
      </c>
      <c r="F72" s="19" t="s">
        <v>136</v>
      </c>
      <c r="G72" s="20">
        <v>10.0</v>
      </c>
      <c r="H72" s="21"/>
      <c r="I72" s="21">
        <v>33.0</v>
      </c>
      <c r="J72" s="22">
        <v>710.0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250</v>
      </c>
      <c r="P72" t="s">
        <v>248</v>
      </c>
      <c r="Q72" t="s">
        <v>248</v>
      </c>
    </row>
    <row r="73" spans="1:18" customHeight="1" ht="58">
      <c r="A73" s="16"/>
      <c r="B73" s="18" t="s">
        <v>243</v>
      </c>
      <c r="C73" s="17" t="s">
        <v>244</v>
      </c>
      <c r="D73" s="17" t="s">
        <v>252</v>
      </c>
      <c r="E73" s="17" t="s">
        <v>246</v>
      </c>
      <c r="F73" s="19" t="s">
        <v>136</v>
      </c>
      <c r="G73" s="20">
        <v>10.0</v>
      </c>
      <c r="H73" s="21"/>
      <c r="I73" s="21">
        <v>51.0</v>
      </c>
      <c r="J73" s="22">
        <v>2048.0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253</v>
      </c>
      <c r="P73" t="s">
        <v>251</v>
      </c>
      <c r="Q73" t="s">
        <v>251</v>
      </c>
    </row>
    <row r="74" spans="1:18" customHeight="1" ht="58">
      <c r="A74" s="16"/>
      <c r="B74" s="18" t="s">
        <v>243</v>
      </c>
      <c r="C74" s="17" t="s">
        <v>244</v>
      </c>
      <c r="D74" s="17" t="s">
        <v>255</v>
      </c>
      <c r="E74" s="17" t="s">
        <v>246</v>
      </c>
      <c r="F74" s="19" t="s">
        <v>136</v>
      </c>
      <c r="G74" s="20">
        <v>10.0</v>
      </c>
      <c r="H74" s="21"/>
      <c r="I74" s="21">
        <v>51.0</v>
      </c>
      <c r="J74" s="22">
        <v>5704.0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256</v>
      </c>
      <c r="P74" t="s">
        <v>254</v>
      </c>
      <c r="Q74" t="s">
        <v>254</v>
      </c>
    </row>
    <row r="75" spans="1:18" customHeight="1" ht="58">
      <c r="A75" s="16"/>
      <c r="B75" s="18" t="s">
        <v>243</v>
      </c>
      <c r="C75" s="17" t="s">
        <v>244</v>
      </c>
      <c r="D75" s="17" t="s">
        <v>258</v>
      </c>
      <c r="E75" s="17" t="s">
        <v>246</v>
      </c>
      <c r="F75" s="19" t="s">
        <v>136</v>
      </c>
      <c r="G75" s="20">
        <v>10.0</v>
      </c>
      <c r="H75" s="21"/>
      <c r="I75" s="21">
        <v>51.0</v>
      </c>
      <c r="J75" s="22">
        <v>1890.0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259</v>
      </c>
      <c r="P75" t="s">
        <v>257</v>
      </c>
      <c r="Q75" t="s">
        <v>257</v>
      </c>
    </row>
    <row r="76" spans="1:18" customHeight="1" ht="58">
      <c r="A76" s="16"/>
      <c r="B76" s="18" t="s">
        <v>243</v>
      </c>
      <c r="C76" s="17" t="s">
        <v>244</v>
      </c>
      <c r="D76" s="17" t="s">
        <v>261</v>
      </c>
      <c r="E76" s="17" t="s">
        <v>246</v>
      </c>
      <c r="F76" s="19" t="s">
        <v>136</v>
      </c>
      <c r="G76" s="20">
        <v>10.0</v>
      </c>
      <c r="H76" s="21"/>
      <c r="I76" s="21">
        <v>51.0</v>
      </c>
      <c r="J76" s="22">
        <v>3300.0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262</v>
      </c>
      <c r="P76" t="s">
        <v>260</v>
      </c>
      <c r="Q76" t="s">
        <v>260</v>
      </c>
    </row>
    <row r="77" spans="1:18" customHeight="1" ht="58">
      <c r="A77" s="16"/>
      <c r="B77" s="18" t="s">
        <v>243</v>
      </c>
      <c r="C77" s="17" t="s">
        <v>244</v>
      </c>
      <c r="D77" s="17" t="s">
        <v>264</v>
      </c>
      <c r="E77" s="17" t="s">
        <v>246</v>
      </c>
      <c r="F77" s="19" t="s">
        <v>136</v>
      </c>
      <c r="G77" s="20">
        <v>10.0</v>
      </c>
      <c r="H77" s="21"/>
      <c r="I77" s="21">
        <v>33.0</v>
      </c>
      <c r="J77" s="22">
        <v>1080.0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265</v>
      </c>
      <c r="P77" t="s">
        <v>263</v>
      </c>
      <c r="Q77" t="s">
        <v>263</v>
      </c>
    </row>
    <row r="78" spans="1:18" customHeight="1" ht="58">
      <c r="A78" s="16"/>
      <c r="B78" s="18" t="s">
        <v>243</v>
      </c>
      <c r="C78" s="17" t="s">
        <v>244</v>
      </c>
      <c r="D78" s="17" t="s">
        <v>267</v>
      </c>
      <c r="E78" s="17" t="s">
        <v>246</v>
      </c>
      <c r="F78" s="19" t="s">
        <v>136</v>
      </c>
      <c r="G78" s="20">
        <v>10.0</v>
      </c>
      <c r="H78" s="21"/>
      <c r="I78" s="21">
        <v>33.0</v>
      </c>
      <c r="J78" s="22">
        <v>2950.0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268</v>
      </c>
      <c r="P78" t="s">
        <v>266</v>
      </c>
      <c r="Q78" t="s">
        <v>266</v>
      </c>
    </row>
    <row r="79" spans="1:18" customHeight="1" ht="58">
      <c r="A79" s="16"/>
      <c r="B79" s="18" t="s">
        <v>243</v>
      </c>
      <c r="C79" s="17" t="s">
        <v>244</v>
      </c>
      <c r="D79" s="17" t="s">
        <v>270</v>
      </c>
      <c r="E79" s="17" t="s">
        <v>246</v>
      </c>
      <c r="F79" s="19" t="s">
        <v>136</v>
      </c>
      <c r="G79" s="20">
        <v>10.0</v>
      </c>
      <c r="H79" s="21"/>
      <c r="I79" s="21">
        <v>51.0</v>
      </c>
      <c r="J79" s="22">
        <v>1550.0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271</v>
      </c>
      <c r="P79" t="s">
        <v>269</v>
      </c>
      <c r="Q79" t="s">
        <v>269</v>
      </c>
    </row>
    <row r="80" spans="1:18" customHeight="1" ht="58">
      <c r="A80" s="16"/>
      <c r="B80" s="18" t="s">
        <v>243</v>
      </c>
      <c r="C80" s="17" t="s">
        <v>244</v>
      </c>
      <c r="D80" s="17" t="s">
        <v>273</v>
      </c>
      <c r="E80" s="17" t="s">
        <v>246</v>
      </c>
      <c r="F80" s="19" t="s">
        <v>136</v>
      </c>
      <c r="G80" s="20">
        <v>10.0</v>
      </c>
      <c r="H80" s="21"/>
      <c r="I80" s="21">
        <v>51.0</v>
      </c>
      <c r="J80" s="22">
        <v>3830.0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274</v>
      </c>
      <c r="P80" t="s">
        <v>272</v>
      </c>
      <c r="Q80" t="s">
        <v>272</v>
      </c>
    </row>
    <row r="81" spans="1:18" customHeight="1" ht="58">
      <c r="A81" s="16"/>
      <c r="B81" s="18" t="s">
        <v>243</v>
      </c>
      <c r="C81" s="17" t="s">
        <v>244</v>
      </c>
      <c r="D81" s="17" t="s">
        <v>276</v>
      </c>
      <c r="E81" s="17" t="s">
        <v>246</v>
      </c>
      <c r="F81" s="19" t="s">
        <v>136</v>
      </c>
      <c r="G81" s="20">
        <v>10.0</v>
      </c>
      <c r="H81" s="21"/>
      <c r="I81" s="21">
        <v>33.0</v>
      </c>
      <c r="J81" s="22">
        <v>1272.0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277</v>
      </c>
      <c r="P81" t="s">
        <v>275</v>
      </c>
      <c r="Q81" t="s">
        <v>275</v>
      </c>
    </row>
    <row r="82" spans="1:18" customHeight="1" ht="58">
      <c r="A82" s="16"/>
      <c r="B82" s="18" t="s">
        <v>243</v>
      </c>
      <c r="C82" s="17" t="s">
        <v>244</v>
      </c>
      <c r="D82" s="17" t="s">
        <v>279</v>
      </c>
      <c r="E82" s="17" t="s">
        <v>246</v>
      </c>
      <c r="F82" s="19" t="s">
        <v>136</v>
      </c>
      <c r="G82" s="20">
        <v>10.0</v>
      </c>
      <c r="H82" s="21"/>
      <c r="I82" s="21">
        <v>33.0</v>
      </c>
      <c r="J82" s="22">
        <v>524.0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280</v>
      </c>
      <c r="P82" t="s">
        <v>278</v>
      </c>
      <c r="Q82" t="s">
        <v>278</v>
      </c>
    </row>
    <row r="83" spans="1:18" customHeight="1" ht="58">
      <c r="A83" s="16"/>
      <c r="B83" s="18" t="s">
        <v>243</v>
      </c>
      <c r="C83" s="17" t="s">
        <v>244</v>
      </c>
      <c r="D83" s="17" t="s">
        <v>282</v>
      </c>
      <c r="E83" s="17" t="s">
        <v>246</v>
      </c>
      <c r="F83" s="19" t="s">
        <v>136</v>
      </c>
      <c r="G83" s="20">
        <v>10.0</v>
      </c>
      <c r="H83" s="21"/>
      <c r="I83" s="21">
        <v>33.0</v>
      </c>
      <c r="J83" s="22">
        <v>8567.0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283</v>
      </c>
      <c r="P83" t="s">
        <v>281</v>
      </c>
      <c r="Q83" t="s">
        <v>281</v>
      </c>
    </row>
    <row r="84" spans="1:18" customHeight="1" ht="58">
      <c r="A84" s="16"/>
      <c r="B84" s="18" t="s">
        <v>285</v>
      </c>
      <c r="C84" s="17" t="s">
        <v>286</v>
      </c>
      <c r="D84" s="17" t="s">
        <v>264</v>
      </c>
      <c r="E84" s="17" t="s">
        <v>246</v>
      </c>
      <c r="F84" s="19" t="s">
        <v>136</v>
      </c>
      <c r="G84" s="20">
        <v>10.0</v>
      </c>
      <c r="H84" s="21"/>
      <c r="I84" s="21">
        <v>38.0</v>
      </c>
      <c r="J84" s="22">
        <v>12290.0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287</v>
      </c>
      <c r="P84" t="s">
        <v>284</v>
      </c>
      <c r="Q84" t="s">
        <v>284</v>
      </c>
    </row>
    <row r="85" spans="1:18" customHeight="1" ht="58">
      <c r="A85" s="16"/>
      <c r="B85" s="18" t="s">
        <v>285</v>
      </c>
      <c r="C85" s="17" t="s">
        <v>286</v>
      </c>
      <c r="D85" s="17" t="s">
        <v>282</v>
      </c>
      <c r="E85" s="17" t="s">
        <v>246</v>
      </c>
      <c r="F85" s="19" t="s">
        <v>136</v>
      </c>
      <c r="G85" s="20">
        <v>10.0</v>
      </c>
      <c r="H85" s="21"/>
      <c r="I85" s="21">
        <v>38.0</v>
      </c>
      <c r="J85" s="22">
        <v>5186.0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289</v>
      </c>
      <c r="P85" t="s">
        <v>288</v>
      </c>
      <c r="Q85" t="s">
        <v>288</v>
      </c>
    </row>
    <row r="86" spans="1:18" customHeight="1" ht="58">
      <c r="A86" s="16"/>
      <c r="B86" s="18" t="s">
        <v>285</v>
      </c>
      <c r="C86" s="17" t="s">
        <v>286</v>
      </c>
      <c r="D86" s="17" t="s">
        <v>279</v>
      </c>
      <c r="E86" s="17" t="s">
        <v>246</v>
      </c>
      <c r="F86" s="19" t="s">
        <v>136</v>
      </c>
      <c r="G86" s="20">
        <v>10.0</v>
      </c>
      <c r="H86" s="21"/>
      <c r="I86" s="21">
        <v>38.0</v>
      </c>
      <c r="J86" s="22">
        <v>800.0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291</v>
      </c>
      <c r="P86" t="s">
        <v>290</v>
      </c>
      <c r="Q86" t="s">
        <v>290</v>
      </c>
    </row>
    <row r="87" spans="1:18" customHeight="1" ht="58">
      <c r="A87" s="16"/>
      <c r="B87" s="18" t="s">
        <v>285</v>
      </c>
      <c r="C87" s="17" t="s">
        <v>286</v>
      </c>
      <c r="D87" s="17" t="s">
        <v>276</v>
      </c>
      <c r="E87" s="17" t="s">
        <v>246</v>
      </c>
      <c r="F87" s="19" t="s">
        <v>136</v>
      </c>
      <c r="G87" s="20">
        <v>10.0</v>
      </c>
      <c r="H87" s="21"/>
      <c r="I87" s="21">
        <v>38.0</v>
      </c>
      <c r="J87" s="22">
        <v>13380.0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293</v>
      </c>
      <c r="P87" t="s">
        <v>292</v>
      </c>
      <c r="Q87" t="s">
        <v>292</v>
      </c>
    </row>
    <row r="88" spans="1:18" customHeight="1" ht="58">
      <c r="A88" s="16"/>
      <c r="B88" s="18" t="s">
        <v>285</v>
      </c>
      <c r="C88" s="17" t="s">
        <v>286</v>
      </c>
      <c r="D88" s="17" t="s">
        <v>295</v>
      </c>
      <c r="E88" s="17" t="s">
        <v>246</v>
      </c>
      <c r="F88" s="19" t="s">
        <v>136</v>
      </c>
      <c r="G88" s="20">
        <v>10.0</v>
      </c>
      <c r="H88" s="21"/>
      <c r="I88" s="21">
        <v>38.0</v>
      </c>
      <c r="J88" s="22">
        <v>15564.0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296</v>
      </c>
      <c r="P88" t="s">
        <v>294</v>
      </c>
      <c r="Q88" t="s">
        <v>294</v>
      </c>
    </row>
    <row r="89" spans="1:18" customHeight="1" ht="58">
      <c r="A89" s="16"/>
      <c r="B89" s="18" t="s">
        <v>285</v>
      </c>
      <c r="C89" s="17" t="s">
        <v>286</v>
      </c>
      <c r="D89" s="17" t="s">
        <v>267</v>
      </c>
      <c r="E89" s="17" t="s">
        <v>246</v>
      </c>
      <c r="F89" s="19" t="s">
        <v>136</v>
      </c>
      <c r="G89" s="20">
        <v>10.0</v>
      </c>
      <c r="H89" s="21"/>
      <c r="I89" s="21">
        <v>38.0</v>
      </c>
      <c r="J89" s="22">
        <v>586.0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298</v>
      </c>
      <c r="P89" t="s">
        <v>297</v>
      </c>
      <c r="Q89" t="s">
        <v>297</v>
      </c>
    </row>
    <row r="90" spans="1:18" customHeight="1" ht="58">
      <c r="A90" s="16"/>
      <c r="B90" s="18" t="s">
        <v>285</v>
      </c>
      <c r="C90" s="17" t="s">
        <v>286</v>
      </c>
      <c r="D90" s="17" t="s">
        <v>249</v>
      </c>
      <c r="E90" s="17" t="s">
        <v>246</v>
      </c>
      <c r="F90" s="19" t="s">
        <v>136</v>
      </c>
      <c r="G90" s="20">
        <v>10.0</v>
      </c>
      <c r="H90" s="21"/>
      <c r="I90" s="21">
        <v>38.0</v>
      </c>
      <c r="J90" s="22">
        <v>230.0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300</v>
      </c>
      <c r="P90" t="s">
        <v>299</v>
      </c>
      <c r="Q90" t="s">
        <v>299</v>
      </c>
    </row>
    <row r="91" spans="1:18" customHeight="1" ht="58">
      <c r="A91" s="16"/>
      <c r="B91" s="18" t="s">
        <v>285</v>
      </c>
      <c r="C91" s="17" t="s">
        <v>286</v>
      </c>
      <c r="D91" s="17" t="s">
        <v>245</v>
      </c>
      <c r="E91" s="17" t="s">
        <v>246</v>
      </c>
      <c r="F91" s="19" t="s">
        <v>136</v>
      </c>
      <c r="G91" s="20">
        <v>10.0</v>
      </c>
      <c r="H91" s="21"/>
      <c r="I91" s="21">
        <v>38.0</v>
      </c>
      <c r="J91" s="22">
        <v>12530.0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302</v>
      </c>
      <c r="P91" t="s">
        <v>301</v>
      </c>
      <c r="Q91" t="s">
        <v>301</v>
      </c>
    </row>
    <row r="92" spans="1:18" customHeight="1" ht="58">
      <c r="A92" s="16"/>
      <c r="B92" s="18" t="s">
        <v>304</v>
      </c>
      <c r="C92" s="17" t="s">
        <v>305</v>
      </c>
      <c r="D92" s="17"/>
      <c r="E92" s="17"/>
      <c r="F92" s="19" t="s">
        <v>136</v>
      </c>
      <c r="G92" s="20">
        <v>10.0</v>
      </c>
      <c r="H92" s="21"/>
      <c r="I92" s="21">
        <v>42.0</v>
      </c>
      <c r="J92" s="22">
        <v>4500.0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306</v>
      </c>
      <c r="P92" t="s">
        <v>303</v>
      </c>
      <c r="Q92" t="s">
        <v>303</v>
      </c>
    </row>
    <row r="93" spans="1:18" customHeight="1" ht="58">
      <c r="A93" s="16"/>
      <c r="B93" s="18" t="s">
        <v>304</v>
      </c>
      <c r="C93" s="17" t="s">
        <v>308</v>
      </c>
      <c r="D93" s="17"/>
      <c r="E93" s="17"/>
      <c r="F93" s="19" t="s">
        <v>136</v>
      </c>
      <c r="G93" s="20">
        <v>10.0</v>
      </c>
      <c r="H93" s="21"/>
      <c r="I93" s="21">
        <v>42.0</v>
      </c>
      <c r="J93" s="22">
        <v>3200.0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309</v>
      </c>
      <c r="P93" t="s">
        <v>307</v>
      </c>
      <c r="Q93" t="s">
        <v>307</v>
      </c>
    </row>
    <row r="94" spans="1:18" customHeight="1" ht="58">
      <c r="A94" s="16"/>
      <c r="B94" s="18" t="s">
        <v>304</v>
      </c>
      <c r="C94" s="17" t="s">
        <v>311</v>
      </c>
      <c r="D94" s="17"/>
      <c r="E94" s="17"/>
      <c r="F94" s="19" t="s">
        <v>136</v>
      </c>
      <c r="G94" s="20">
        <v>10.0</v>
      </c>
      <c r="H94" s="21"/>
      <c r="I94" s="21">
        <v>42.0</v>
      </c>
      <c r="J94" s="22">
        <v>2250.0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312</v>
      </c>
      <c r="P94" t="s">
        <v>310</v>
      </c>
      <c r="Q94" t="s">
        <v>310</v>
      </c>
    </row>
    <row r="95" spans="1:18" customHeight="1" ht="58">
      <c r="A95" s="16"/>
      <c r="B95" s="18" t="s">
        <v>304</v>
      </c>
      <c r="C95" s="17" t="s">
        <v>314</v>
      </c>
      <c r="D95" s="17"/>
      <c r="E95" s="17"/>
      <c r="F95" s="19" t="s">
        <v>136</v>
      </c>
      <c r="G95" s="20">
        <v>10.0</v>
      </c>
      <c r="H95" s="21"/>
      <c r="I95" s="21">
        <v>42.0</v>
      </c>
      <c r="J95" s="22">
        <v>2000.0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315</v>
      </c>
      <c r="P95" t="s">
        <v>313</v>
      </c>
      <c r="Q95" t="s">
        <v>313</v>
      </c>
    </row>
    <row r="96" spans="1:18" customHeight="1" ht="58">
      <c r="A96" s="16"/>
      <c r="B96" s="18" t="s">
        <v>304</v>
      </c>
      <c r="C96" s="17" t="s">
        <v>317</v>
      </c>
      <c r="D96" s="17"/>
      <c r="E96" s="17"/>
      <c r="F96" s="19" t="s">
        <v>136</v>
      </c>
      <c r="G96" s="20">
        <v>10.0</v>
      </c>
      <c r="H96" s="21"/>
      <c r="I96" s="21">
        <v>42.0</v>
      </c>
      <c r="J96" s="22">
        <v>1430.0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318</v>
      </c>
      <c r="P96" t="s">
        <v>316</v>
      </c>
      <c r="Q96" t="s">
        <v>316</v>
      </c>
    </row>
    <row r="97" spans="1:18" customHeight="1" ht="58">
      <c r="A97" s="16"/>
      <c r="B97" s="18" t="s">
        <v>304</v>
      </c>
      <c r="C97" s="17" t="s">
        <v>320</v>
      </c>
      <c r="D97" s="17"/>
      <c r="E97" s="17"/>
      <c r="F97" s="19" t="s">
        <v>136</v>
      </c>
      <c r="G97" s="20">
        <v>10.0</v>
      </c>
      <c r="H97" s="21"/>
      <c r="I97" s="21">
        <v>42.0</v>
      </c>
      <c r="J97" s="22">
        <v>2610.0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321</v>
      </c>
      <c r="P97" t="s">
        <v>319</v>
      </c>
      <c r="Q97" t="s">
        <v>319</v>
      </c>
    </row>
    <row r="98" spans="1:18" customHeight="1" ht="58">
      <c r="A98" s="16"/>
      <c r="B98" s="18" t="s">
        <v>304</v>
      </c>
      <c r="C98" s="17" t="s">
        <v>323</v>
      </c>
      <c r="D98" s="17"/>
      <c r="E98" s="17"/>
      <c r="F98" s="19" t="s">
        <v>136</v>
      </c>
      <c r="G98" s="20">
        <v>10.0</v>
      </c>
      <c r="H98" s="21"/>
      <c r="I98" s="21">
        <v>42.0</v>
      </c>
      <c r="J98" s="22">
        <v>1760.0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324</v>
      </c>
      <c r="P98" t="s">
        <v>322</v>
      </c>
      <c r="Q98" t="s">
        <v>322</v>
      </c>
    </row>
    <row r="99" spans="1:18" customHeight="1" ht="58">
      <c r="A99" s="16"/>
      <c r="B99" s="18" t="s">
        <v>304</v>
      </c>
      <c r="C99" s="17" t="s">
        <v>326</v>
      </c>
      <c r="D99" s="17"/>
      <c r="E99" s="17"/>
      <c r="F99" s="19" t="s">
        <v>136</v>
      </c>
      <c r="G99" s="20">
        <v>10.0</v>
      </c>
      <c r="H99" s="21"/>
      <c r="I99" s="21">
        <v>42.0</v>
      </c>
      <c r="J99" s="22">
        <v>3662.0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327</v>
      </c>
      <c r="P99" t="s">
        <v>325</v>
      </c>
      <c r="Q99" t="s">
        <v>325</v>
      </c>
    </row>
    <row r="100" spans="1:18" customHeight="1" ht="58">
      <c r="A100" s="16"/>
      <c r="B100" s="18" t="s">
        <v>304</v>
      </c>
      <c r="C100" s="17" t="s">
        <v>329</v>
      </c>
      <c r="D100" s="17"/>
      <c r="E100" s="17"/>
      <c r="F100" s="19" t="s">
        <v>136</v>
      </c>
      <c r="G100" s="20">
        <v>10.0</v>
      </c>
      <c r="H100" s="21"/>
      <c r="I100" s="21">
        <v>42.0</v>
      </c>
      <c r="J100" s="22">
        <v>3240.0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330</v>
      </c>
      <c r="P100" t="s">
        <v>328</v>
      </c>
      <c r="Q100" t="s">
        <v>328</v>
      </c>
    </row>
    <row r="101" spans="1:18" customHeight="1" ht="58">
      <c r="A101" s="16"/>
      <c r="B101" s="18" t="s">
        <v>304</v>
      </c>
      <c r="C101" s="17" t="s">
        <v>332</v>
      </c>
      <c r="D101" s="17"/>
      <c r="E101" s="17"/>
      <c r="F101" s="19" t="s">
        <v>136</v>
      </c>
      <c r="G101" s="20">
        <v>10.0</v>
      </c>
      <c r="H101" s="21"/>
      <c r="I101" s="21">
        <v>42.0</v>
      </c>
      <c r="J101" s="22">
        <v>2250.0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333</v>
      </c>
      <c r="P101" t="s">
        <v>331</v>
      </c>
      <c r="Q101" t="s">
        <v>331</v>
      </c>
    </row>
    <row r="102" spans="1:18" customHeight="1" ht="58">
      <c r="A102" s="16"/>
      <c r="B102" s="18" t="s">
        <v>304</v>
      </c>
      <c r="C102" s="17" t="s">
        <v>335</v>
      </c>
      <c r="D102" s="17"/>
      <c r="E102" s="17"/>
      <c r="F102" s="19" t="s">
        <v>136</v>
      </c>
      <c r="G102" s="20">
        <v>10.0</v>
      </c>
      <c r="H102" s="21"/>
      <c r="I102" s="21">
        <v>42.0</v>
      </c>
      <c r="J102" s="22">
        <v>3580.0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336</v>
      </c>
      <c r="P102" t="s">
        <v>334</v>
      </c>
      <c r="Q102" t="s">
        <v>334</v>
      </c>
    </row>
    <row r="103" spans="1:18" customHeight="1" ht="58">
      <c r="A103" s="16"/>
      <c r="B103" s="18" t="s">
        <v>304</v>
      </c>
      <c r="C103" s="17" t="s">
        <v>338</v>
      </c>
      <c r="D103" s="17"/>
      <c r="E103" s="17"/>
      <c r="F103" s="19" t="s">
        <v>136</v>
      </c>
      <c r="G103" s="20">
        <v>10.0</v>
      </c>
      <c r="H103" s="21"/>
      <c r="I103" s="21">
        <v>42.0</v>
      </c>
      <c r="J103" s="22">
        <v>1490.0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339</v>
      </c>
      <c r="P103" t="s">
        <v>337</v>
      </c>
      <c r="Q103" t="s">
        <v>337</v>
      </c>
    </row>
    <row r="104" spans="1:18" customHeight="1" ht="58">
      <c r="A104" s="16"/>
      <c r="B104" s="18" t="s">
        <v>341</v>
      </c>
      <c r="C104" s="17" t="s">
        <v>342</v>
      </c>
      <c r="D104" s="17"/>
      <c r="E104" s="17"/>
      <c r="F104" s="19" t="s">
        <v>136</v>
      </c>
      <c r="G104" s="20">
        <v>10.0</v>
      </c>
      <c r="H104" s="21"/>
      <c r="I104" s="21">
        <v>64.0</v>
      </c>
      <c r="J104" s="22">
        <v>5201.0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343</v>
      </c>
      <c r="P104" t="s">
        <v>340</v>
      </c>
      <c r="Q104" t="s">
        <v>340</v>
      </c>
    </row>
    <row r="105" spans="1:18" customHeight="1" ht="58">
      <c r="A105" s="16"/>
      <c r="B105" s="18" t="s">
        <v>345</v>
      </c>
      <c r="C105" s="17" t="s">
        <v>346</v>
      </c>
      <c r="D105" s="17"/>
      <c r="E105" s="17"/>
      <c r="F105" s="19" t="s">
        <v>136</v>
      </c>
      <c r="G105" s="20">
        <v>10.0</v>
      </c>
      <c r="H105" s="21"/>
      <c r="I105" s="21">
        <v>58.0</v>
      </c>
      <c r="J105" s="22">
        <v>3.0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347</v>
      </c>
      <c r="P105" t="s">
        <v>344</v>
      </c>
      <c r="Q105" t="s">
        <v>344</v>
      </c>
    </row>
    <row r="106" spans="1:18" customHeight="1" ht="58">
      <c r="A106" s="16"/>
      <c r="B106" s="18" t="s">
        <v>345</v>
      </c>
      <c r="C106" s="17" t="s">
        <v>349</v>
      </c>
      <c r="D106" s="17"/>
      <c r="E106" s="17"/>
      <c r="F106" s="19" t="s">
        <v>136</v>
      </c>
      <c r="G106" s="20">
        <v>10.0</v>
      </c>
      <c r="H106" s="21"/>
      <c r="I106" s="21">
        <v>58.0</v>
      </c>
      <c r="J106" s="22">
        <v>3010.0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350</v>
      </c>
      <c r="P106" t="s">
        <v>348</v>
      </c>
      <c r="Q106" t="s">
        <v>348</v>
      </c>
    </row>
    <row r="107" spans="1:18" customHeight="1" ht="58">
      <c r="A107" s="16"/>
      <c r="B107" s="18" t="s">
        <v>345</v>
      </c>
      <c r="C107" s="17" t="s">
        <v>352</v>
      </c>
      <c r="D107" s="17"/>
      <c r="E107" s="17"/>
      <c r="F107" s="19" t="s">
        <v>136</v>
      </c>
      <c r="G107" s="20">
        <v>10.0</v>
      </c>
      <c r="H107" s="21"/>
      <c r="I107" s="21">
        <v>58.0</v>
      </c>
      <c r="J107" s="22">
        <v>4360.0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353</v>
      </c>
      <c r="P107" t="s">
        <v>351</v>
      </c>
      <c r="Q107" t="s">
        <v>351</v>
      </c>
    </row>
    <row r="108" spans="1:18" customHeight="1" ht="58">
      <c r="A108" s="16"/>
      <c r="B108" s="18" t="s">
        <v>345</v>
      </c>
      <c r="C108" s="17" t="s">
        <v>355</v>
      </c>
      <c r="D108" s="17"/>
      <c r="E108" s="17"/>
      <c r="F108" s="19" t="s">
        <v>136</v>
      </c>
      <c r="G108" s="20">
        <v>10.0</v>
      </c>
      <c r="H108" s="21"/>
      <c r="I108" s="21">
        <v>58.0</v>
      </c>
      <c r="J108" s="22">
        <v>4281.0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356</v>
      </c>
      <c r="P108" t="s">
        <v>354</v>
      </c>
      <c r="Q108" t="s">
        <v>354</v>
      </c>
    </row>
    <row r="109" spans="1:18" customHeight="1" ht="58">
      <c r="A109" s="16"/>
      <c r="B109" s="18" t="s">
        <v>345</v>
      </c>
      <c r="C109" s="17" t="s">
        <v>358</v>
      </c>
      <c r="D109" s="17"/>
      <c r="E109" s="17"/>
      <c r="F109" s="19" t="s">
        <v>136</v>
      </c>
      <c r="G109" s="20">
        <v>10.0</v>
      </c>
      <c r="H109" s="21"/>
      <c r="I109" s="21">
        <v>58.0</v>
      </c>
      <c r="J109" s="22">
        <v>4476.0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359</v>
      </c>
      <c r="P109" t="s">
        <v>357</v>
      </c>
      <c r="Q109" t="s">
        <v>357</v>
      </c>
    </row>
    <row r="110" spans="1:18" customHeight="1" ht="58">
      <c r="A110" s="16"/>
      <c r="B110" s="18" t="s">
        <v>345</v>
      </c>
      <c r="C110" s="17" t="s">
        <v>361</v>
      </c>
      <c r="D110" s="17"/>
      <c r="E110" s="17"/>
      <c r="F110" s="19" t="s">
        <v>136</v>
      </c>
      <c r="G110" s="20">
        <v>10.0</v>
      </c>
      <c r="H110" s="21"/>
      <c r="I110" s="21">
        <v>58.0</v>
      </c>
      <c r="J110" s="22">
        <v>3811.0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362</v>
      </c>
      <c r="P110" t="s">
        <v>360</v>
      </c>
      <c r="Q110" t="s">
        <v>360</v>
      </c>
    </row>
    <row r="111" spans="1:18" customHeight="1" ht="58">
      <c r="A111" s="16"/>
      <c r="B111" s="18" t="s">
        <v>345</v>
      </c>
      <c r="C111" s="17" t="s">
        <v>364</v>
      </c>
      <c r="D111" s="17"/>
      <c r="E111" s="17"/>
      <c r="F111" s="19" t="s">
        <v>136</v>
      </c>
      <c r="G111" s="20">
        <v>10.0</v>
      </c>
      <c r="H111" s="21"/>
      <c r="I111" s="21">
        <v>58.0</v>
      </c>
      <c r="J111" s="22">
        <v>2570.0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365</v>
      </c>
      <c r="P111" t="s">
        <v>363</v>
      </c>
      <c r="Q111" t="s">
        <v>363</v>
      </c>
    </row>
    <row r="112" spans="1:18" customHeight="1" ht="58">
      <c r="A112" s="16"/>
      <c r="B112" s="18" t="s">
        <v>345</v>
      </c>
      <c r="C112" s="17" t="s">
        <v>367</v>
      </c>
      <c r="D112" s="17"/>
      <c r="E112" s="17"/>
      <c r="F112" s="19" t="s">
        <v>136</v>
      </c>
      <c r="G112" s="20">
        <v>10.0</v>
      </c>
      <c r="H112" s="21"/>
      <c r="I112" s="21">
        <v>58.0</v>
      </c>
      <c r="J112" s="22">
        <v>4482.0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368</v>
      </c>
      <c r="P112" t="s">
        <v>366</v>
      </c>
      <c r="Q112" t="s">
        <v>366</v>
      </c>
    </row>
    <row r="113" spans="1:18" customHeight="1" ht="58">
      <c r="A113" s="16"/>
      <c r="B113" s="18" t="s">
        <v>345</v>
      </c>
      <c r="C113" s="17" t="s">
        <v>370</v>
      </c>
      <c r="D113" s="17"/>
      <c r="E113" s="17"/>
      <c r="F113" s="19" t="s">
        <v>136</v>
      </c>
      <c r="G113" s="20">
        <v>10.0</v>
      </c>
      <c r="H113" s="21"/>
      <c r="I113" s="21">
        <v>58.0</v>
      </c>
      <c r="J113" s="22">
        <v>1610.0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371</v>
      </c>
      <c r="P113" t="s">
        <v>369</v>
      </c>
      <c r="Q113" t="s">
        <v>369</v>
      </c>
    </row>
    <row r="114" spans="1:18" customHeight="1" ht="58">
      <c r="A114" s="16"/>
      <c r="B114" s="18" t="s">
        <v>345</v>
      </c>
      <c r="C114" s="17" t="s">
        <v>373</v>
      </c>
      <c r="D114" s="17"/>
      <c r="E114" s="17"/>
      <c r="F114" s="19" t="s">
        <v>136</v>
      </c>
      <c r="G114" s="20">
        <v>10.0</v>
      </c>
      <c r="H114" s="21"/>
      <c r="I114" s="21">
        <v>58.0</v>
      </c>
      <c r="J114" s="22">
        <v>7154.0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374</v>
      </c>
      <c r="P114" t="s">
        <v>372</v>
      </c>
      <c r="Q114" t="s">
        <v>372</v>
      </c>
    </row>
    <row r="115" spans="1:18" customHeight="1" ht="58">
      <c r="A115" s="16"/>
      <c r="B115" s="18" t="s">
        <v>376</v>
      </c>
      <c r="C115" s="17" t="s">
        <v>377</v>
      </c>
      <c r="D115" s="17" t="s">
        <v>378</v>
      </c>
      <c r="E115" s="17" t="s">
        <v>39</v>
      </c>
      <c r="F115" s="19" t="s">
        <v>136</v>
      </c>
      <c r="G115" s="20">
        <v>10.0</v>
      </c>
      <c r="H115" s="21"/>
      <c r="I115" s="21">
        <v>44.0</v>
      </c>
      <c r="J115" s="22">
        <v>3610.0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379</v>
      </c>
      <c r="P115" t="s">
        <v>375</v>
      </c>
      <c r="Q115" t="s">
        <v>375</v>
      </c>
    </row>
    <row r="116" spans="1:18" customHeight="1" ht="58">
      <c r="A116" s="16"/>
      <c r="B116" s="18" t="s">
        <v>376</v>
      </c>
      <c r="C116" s="17" t="s">
        <v>377</v>
      </c>
      <c r="D116" s="17" t="s">
        <v>381</v>
      </c>
      <c r="E116" s="17" t="s">
        <v>39</v>
      </c>
      <c r="F116" s="19" t="s">
        <v>136</v>
      </c>
      <c r="G116" s="20">
        <v>10.0</v>
      </c>
      <c r="H116" s="21"/>
      <c r="I116" s="21">
        <v>48.0</v>
      </c>
      <c r="J116" s="22">
        <v>4510.0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382</v>
      </c>
      <c r="P116" t="s">
        <v>380</v>
      </c>
      <c r="Q116" t="s">
        <v>380</v>
      </c>
    </row>
    <row r="117" spans="1:18" customHeight="1" ht="58">
      <c r="A117" s="16"/>
      <c r="B117" s="18" t="s">
        <v>376</v>
      </c>
      <c r="C117" s="17" t="s">
        <v>377</v>
      </c>
      <c r="D117" s="17" t="s">
        <v>50</v>
      </c>
      <c r="E117" s="17" t="s">
        <v>39</v>
      </c>
      <c r="F117" s="19" t="s">
        <v>136</v>
      </c>
      <c r="G117" s="20">
        <v>10.0</v>
      </c>
      <c r="H117" s="21"/>
      <c r="I117" s="21">
        <v>44.0</v>
      </c>
      <c r="J117" s="22">
        <v>3170.0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384</v>
      </c>
      <c r="P117" t="s">
        <v>383</v>
      </c>
      <c r="Q117" t="s">
        <v>383</v>
      </c>
    </row>
    <row r="118" spans="1:18" customHeight="1" ht="58">
      <c r="A118" s="16"/>
      <c r="B118" s="18" t="s">
        <v>386</v>
      </c>
      <c r="C118" s="17" t="s">
        <v>387</v>
      </c>
      <c r="D118" s="17" t="s">
        <v>182</v>
      </c>
      <c r="E118" s="17" t="s">
        <v>39</v>
      </c>
      <c r="F118" s="19" t="s">
        <v>136</v>
      </c>
      <c r="G118" s="20">
        <v>10.0</v>
      </c>
      <c r="H118" s="21"/>
      <c r="I118" s="21">
        <v>44.0</v>
      </c>
      <c r="J118" s="22">
        <v>1290.0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388</v>
      </c>
      <c r="P118" t="s">
        <v>385</v>
      </c>
      <c r="Q118" t="s">
        <v>385</v>
      </c>
    </row>
    <row r="119" spans="1:18" customHeight="1" ht="58">
      <c r="A119" s="16"/>
      <c r="B119" s="18" t="s">
        <v>386</v>
      </c>
      <c r="C119" s="17" t="s">
        <v>387</v>
      </c>
      <c r="D119" s="17" t="s">
        <v>197</v>
      </c>
      <c r="E119" s="17" t="s">
        <v>39</v>
      </c>
      <c r="F119" s="19" t="s">
        <v>136</v>
      </c>
      <c r="G119" s="20">
        <v>10.0</v>
      </c>
      <c r="H119" s="21"/>
      <c r="I119" s="21">
        <v>44.0</v>
      </c>
      <c r="J119" s="22">
        <v>3130.0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390</v>
      </c>
      <c r="P119" t="s">
        <v>389</v>
      </c>
      <c r="Q119" t="s">
        <v>389</v>
      </c>
    </row>
    <row r="120" spans="1:18" customHeight="1" ht="58">
      <c r="A120" s="16"/>
      <c r="B120" s="18" t="s">
        <v>386</v>
      </c>
      <c r="C120" s="17" t="s">
        <v>387</v>
      </c>
      <c r="D120" s="17" t="s">
        <v>203</v>
      </c>
      <c r="E120" s="17" t="s">
        <v>39</v>
      </c>
      <c r="F120" s="19" t="s">
        <v>136</v>
      </c>
      <c r="G120" s="20">
        <v>10.0</v>
      </c>
      <c r="H120" s="21"/>
      <c r="I120" s="21">
        <v>44.0</v>
      </c>
      <c r="J120" s="22">
        <v>4890.0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392</v>
      </c>
      <c r="P120" t="s">
        <v>391</v>
      </c>
      <c r="Q120" t="s">
        <v>391</v>
      </c>
    </row>
    <row r="121" spans="1:18" customHeight="1" ht="58">
      <c r="A121" s="16"/>
      <c r="B121" s="18" t="s">
        <v>386</v>
      </c>
      <c r="C121" s="17" t="s">
        <v>387</v>
      </c>
      <c r="D121" s="17" t="s">
        <v>209</v>
      </c>
      <c r="E121" s="17" t="s">
        <v>39</v>
      </c>
      <c r="F121" s="19" t="s">
        <v>136</v>
      </c>
      <c r="G121" s="20">
        <v>10.0</v>
      </c>
      <c r="H121" s="21"/>
      <c r="I121" s="21">
        <v>44.0</v>
      </c>
      <c r="J121" s="22">
        <v>5260.0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394</v>
      </c>
      <c r="P121" t="s">
        <v>393</v>
      </c>
      <c r="Q121" t="s">
        <v>393</v>
      </c>
    </row>
    <row r="122" spans="1:18" customHeight="1" ht="58">
      <c r="A122" s="16"/>
      <c r="B122" s="18" t="s">
        <v>386</v>
      </c>
      <c r="C122" s="17" t="s">
        <v>387</v>
      </c>
      <c r="D122" s="17" t="s">
        <v>218</v>
      </c>
      <c r="E122" s="17" t="s">
        <v>39</v>
      </c>
      <c r="F122" s="19" t="s">
        <v>136</v>
      </c>
      <c r="G122" s="20">
        <v>10.0</v>
      </c>
      <c r="H122" s="21"/>
      <c r="I122" s="21">
        <v>44.0</v>
      </c>
      <c r="J122" s="22">
        <v>2729.0</v>
      </c>
      <c r="K122" s="50"/>
      <c r="L122" s="21" t="str">
        <f>IF(K122&gt;0,K122*I122,"")</f>
      </c>
      <c r="M122" s="52"/>
      <c r="N122" t="str">
        <f>IF(K122&gt;0,COUNTIF($K$7:K122,"&gt;0"),"")</f>
      </c>
      <c r="O122" t="s">
        <v>396</v>
      </c>
      <c r="P122" t="s">
        <v>395</v>
      </c>
      <c r="Q122" t="s">
        <v>395</v>
      </c>
    </row>
    <row r="123" spans="1:18" customHeight="1" ht="58">
      <c r="A123" s="16"/>
      <c r="B123" s="18" t="s">
        <v>386</v>
      </c>
      <c r="C123" s="17" t="s">
        <v>387</v>
      </c>
      <c r="D123" s="17" t="s">
        <v>191</v>
      </c>
      <c r="E123" s="17" t="s">
        <v>39</v>
      </c>
      <c r="F123" s="19" t="s">
        <v>136</v>
      </c>
      <c r="G123" s="20">
        <v>10.0</v>
      </c>
      <c r="H123" s="21"/>
      <c r="I123" s="21">
        <v>44.0</v>
      </c>
      <c r="J123" s="22">
        <v>3590.0</v>
      </c>
      <c r="K123" s="50"/>
      <c r="L123" s="21" t="str">
        <f>IF(K123&gt;0,K123*I123,"")</f>
      </c>
      <c r="M123" s="52"/>
      <c r="N123" t="str">
        <f>IF(K123&gt;0,COUNTIF($K$7:K123,"&gt;0"),"")</f>
      </c>
      <c r="O123" t="s">
        <v>398</v>
      </c>
      <c r="P123" t="s">
        <v>397</v>
      </c>
      <c r="Q123" t="s">
        <v>397</v>
      </c>
    </row>
    <row r="124" spans="1:18" customHeight="1" ht="58">
      <c r="A124" s="16"/>
      <c r="B124" s="18" t="s">
        <v>386</v>
      </c>
      <c r="C124" s="17" t="s">
        <v>387</v>
      </c>
      <c r="D124" s="17" t="s">
        <v>212</v>
      </c>
      <c r="E124" s="17" t="s">
        <v>39</v>
      </c>
      <c r="F124" s="19" t="s">
        <v>136</v>
      </c>
      <c r="G124" s="20">
        <v>10.0</v>
      </c>
      <c r="H124" s="21"/>
      <c r="I124" s="21">
        <v>44.0</v>
      </c>
      <c r="J124" s="22">
        <v>610.0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400</v>
      </c>
      <c r="P124" t="s">
        <v>399</v>
      </c>
      <c r="Q124" t="s">
        <v>399</v>
      </c>
    </row>
    <row r="125" spans="1:18" customHeight="1" ht="58">
      <c r="A125" s="16"/>
      <c r="B125" s="18" t="s">
        <v>386</v>
      </c>
      <c r="C125" s="17" t="s">
        <v>387</v>
      </c>
      <c r="D125" s="17" t="s">
        <v>200</v>
      </c>
      <c r="E125" s="17" t="s">
        <v>39</v>
      </c>
      <c r="F125" s="19" t="s">
        <v>136</v>
      </c>
      <c r="G125" s="20">
        <v>10.0</v>
      </c>
      <c r="H125" s="21"/>
      <c r="I125" s="21">
        <v>44.0</v>
      </c>
      <c r="J125" s="22">
        <v>3600.0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402</v>
      </c>
      <c r="P125" t="s">
        <v>401</v>
      </c>
      <c r="Q125" t="s">
        <v>401</v>
      </c>
    </row>
    <row r="126" spans="1:18" customHeight="1" ht="58">
      <c r="A126" s="16"/>
      <c r="B126" s="18" t="s">
        <v>386</v>
      </c>
      <c r="C126" s="17" t="s">
        <v>387</v>
      </c>
      <c r="D126" s="17" t="s">
        <v>206</v>
      </c>
      <c r="E126" s="17" t="s">
        <v>39</v>
      </c>
      <c r="F126" s="19" t="s">
        <v>136</v>
      </c>
      <c r="G126" s="20">
        <v>10.0</v>
      </c>
      <c r="H126" s="21"/>
      <c r="I126" s="21">
        <v>44.0</v>
      </c>
      <c r="J126" s="22">
        <v>1394.0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404</v>
      </c>
      <c r="P126" t="s">
        <v>403</v>
      </c>
      <c r="Q126" t="s">
        <v>403</v>
      </c>
    </row>
    <row r="127" spans="1:18" customHeight="1" ht="58">
      <c r="A127" s="16"/>
      <c r="B127" s="18" t="s">
        <v>386</v>
      </c>
      <c r="C127" s="17" t="s">
        <v>387</v>
      </c>
      <c r="D127" s="17" t="s">
        <v>179</v>
      </c>
      <c r="E127" s="17" t="s">
        <v>39</v>
      </c>
      <c r="F127" s="19" t="s">
        <v>136</v>
      </c>
      <c r="G127" s="20">
        <v>10.0</v>
      </c>
      <c r="H127" s="21"/>
      <c r="I127" s="21">
        <v>44.0</v>
      </c>
      <c r="J127" s="22">
        <v>1810.0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406</v>
      </c>
      <c r="P127" t="s">
        <v>405</v>
      </c>
      <c r="Q127" t="s">
        <v>405</v>
      </c>
    </row>
    <row r="128" spans="1:18" customHeight="1" ht="58">
      <c r="A128" s="16"/>
      <c r="B128" s="18" t="s">
        <v>386</v>
      </c>
      <c r="C128" s="17" t="s">
        <v>387</v>
      </c>
      <c r="D128" s="17" t="s">
        <v>194</v>
      </c>
      <c r="E128" s="17" t="s">
        <v>39</v>
      </c>
      <c r="F128" s="19" t="s">
        <v>136</v>
      </c>
      <c r="G128" s="20">
        <v>10.0</v>
      </c>
      <c r="H128" s="21"/>
      <c r="I128" s="21">
        <v>44.0</v>
      </c>
      <c r="J128" s="22">
        <v>1470.0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408</v>
      </c>
      <c r="P128" t="s">
        <v>407</v>
      </c>
      <c r="Q128" t="s">
        <v>407</v>
      </c>
    </row>
    <row r="129" spans="1:18" customHeight="1" ht="58">
      <c r="A129" s="16"/>
      <c r="B129" s="18" t="s">
        <v>386</v>
      </c>
      <c r="C129" s="17" t="s">
        <v>387</v>
      </c>
      <c r="D129" s="17" t="s">
        <v>188</v>
      </c>
      <c r="E129" s="17" t="s">
        <v>39</v>
      </c>
      <c r="F129" s="19" t="s">
        <v>136</v>
      </c>
      <c r="G129" s="20">
        <v>10.0</v>
      </c>
      <c r="H129" s="21"/>
      <c r="I129" s="21">
        <v>44.0</v>
      </c>
      <c r="J129" s="22">
        <v>3740.0</v>
      </c>
      <c r="K129" s="50"/>
      <c r="L129" s="21" t="str">
        <f>IF(K129&gt;0,K129*I129,"")</f>
      </c>
      <c r="M129" s="52"/>
      <c r="N129" t="str">
        <f>IF(K129&gt;0,COUNTIF($K$7:K129,"&gt;0"),"")</f>
      </c>
      <c r="O129" t="s">
        <v>410</v>
      </c>
      <c r="P129" t="s">
        <v>409</v>
      </c>
      <c r="Q129" t="s">
        <v>409</v>
      </c>
    </row>
    <row r="130" spans="1:18" customHeight="1" ht="58">
      <c r="A130" s="16"/>
      <c r="B130" s="18" t="s">
        <v>386</v>
      </c>
      <c r="C130" s="17" t="s">
        <v>387</v>
      </c>
      <c r="D130" s="17" t="s">
        <v>215</v>
      </c>
      <c r="E130" s="17" t="s">
        <v>39</v>
      </c>
      <c r="F130" s="19" t="s">
        <v>136</v>
      </c>
      <c r="G130" s="20">
        <v>10.0</v>
      </c>
      <c r="H130" s="21"/>
      <c r="I130" s="21">
        <v>44.0</v>
      </c>
      <c r="J130" s="22">
        <v>577.0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412</v>
      </c>
      <c r="P130" t="s">
        <v>411</v>
      </c>
      <c r="Q130" t="s">
        <v>411</v>
      </c>
    </row>
    <row r="131" spans="1:18" customHeight="1" ht="58">
      <c r="A131" s="16"/>
      <c r="B131" s="18" t="s">
        <v>414</v>
      </c>
      <c r="C131" s="17" t="s">
        <v>415</v>
      </c>
      <c r="D131" s="17" t="s">
        <v>282</v>
      </c>
      <c r="E131" s="17" t="s">
        <v>39</v>
      </c>
      <c r="F131" s="19" t="s">
        <v>136</v>
      </c>
      <c r="G131" s="20">
        <v>10.0</v>
      </c>
      <c r="H131" s="21"/>
      <c r="I131" s="21">
        <v>43.0</v>
      </c>
      <c r="J131" s="22">
        <v>4190.0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416</v>
      </c>
      <c r="P131" t="s">
        <v>413</v>
      </c>
      <c r="Q131" t="s">
        <v>413</v>
      </c>
    </row>
    <row r="132" spans="1:18" customHeight="1" ht="58">
      <c r="A132" s="16"/>
      <c r="B132" s="18" t="s">
        <v>414</v>
      </c>
      <c r="C132" s="17" t="s">
        <v>415</v>
      </c>
      <c r="D132" s="17" t="s">
        <v>418</v>
      </c>
      <c r="E132" s="17" t="s">
        <v>39</v>
      </c>
      <c r="F132" s="19" t="s">
        <v>136</v>
      </c>
      <c r="G132" s="20">
        <v>10.0</v>
      </c>
      <c r="H132" s="21"/>
      <c r="I132" s="21">
        <v>43.0</v>
      </c>
      <c r="J132" s="22">
        <v>2990.0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419</v>
      </c>
      <c r="P132" t="s">
        <v>417</v>
      </c>
      <c r="Q132" t="s">
        <v>417</v>
      </c>
    </row>
    <row r="133" spans="1:18" customHeight="1" ht="58">
      <c r="A133" s="16"/>
      <c r="B133" s="18" t="s">
        <v>414</v>
      </c>
      <c r="C133" s="17" t="s">
        <v>415</v>
      </c>
      <c r="D133" s="17" t="s">
        <v>421</v>
      </c>
      <c r="E133" s="17" t="s">
        <v>39</v>
      </c>
      <c r="F133" s="19" t="s">
        <v>136</v>
      </c>
      <c r="G133" s="20">
        <v>10.0</v>
      </c>
      <c r="H133" s="21"/>
      <c r="I133" s="21">
        <v>43.0</v>
      </c>
      <c r="J133" s="22">
        <v>3000.0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422</v>
      </c>
      <c r="P133" t="s">
        <v>420</v>
      </c>
      <c r="Q133" t="s">
        <v>420</v>
      </c>
    </row>
    <row r="134" spans="1:18" customHeight="1" ht="58">
      <c r="A134" s="16"/>
      <c r="B134" s="18" t="s">
        <v>414</v>
      </c>
      <c r="C134" s="17" t="s">
        <v>415</v>
      </c>
      <c r="D134" s="17" t="s">
        <v>295</v>
      </c>
      <c r="E134" s="17" t="s">
        <v>39</v>
      </c>
      <c r="F134" s="19" t="s">
        <v>136</v>
      </c>
      <c r="G134" s="20">
        <v>10.0</v>
      </c>
      <c r="H134" s="21"/>
      <c r="I134" s="21">
        <v>43.0</v>
      </c>
      <c r="J134" s="22">
        <v>1570.0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424</v>
      </c>
      <c r="P134" t="s">
        <v>423</v>
      </c>
      <c r="Q134" t="s">
        <v>423</v>
      </c>
    </row>
    <row r="135" spans="1:18" customHeight="1" ht="58">
      <c r="A135" s="16"/>
      <c r="B135" s="18" t="s">
        <v>414</v>
      </c>
      <c r="C135" s="17" t="s">
        <v>415</v>
      </c>
      <c r="D135" s="17" t="s">
        <v>276</v>
      </c>
      <c r="E135" s="17" t="s">
        <v>39</v>
      </c>
      <c r="F135" s="19" t="s">
        <v>136</v>
      </c>
      <c r="G135" s="20">
        <v>10.0</v>
      </c>
      <c r="H135" s="21"/>
      <c r="I135" s="21">
        <v>43.0</v>
      </c>
      <c r="J135" s="22">
        <v>1160.0</v>
      </c>
      <c r="K135" s="50"/>
      <c r="L135" s="21" t="str">
        <f>IF(K135&gt;0,K135*I135,"")</f>
      </c>
      <c r="M135" s="52"/>
      <c r="N135" t="str">
        <f>IF(K135&gt;0,COUNTIF($K$7:K135,"&gt;0"),"")</f>
      </c>
      <c r="O135" t="s">
        <v>426</v>
      </c>
      <c r="P135" t="s">
        <v>425</v>
      </c>
      <c r="Q135" t="s">
        <v>425</v>
      </c>
    </row>
    <row r="136" spans="1:18" customHeight="1" ht="58">
      <c r="A136" s="16"/>
      <c r="B136" s="18" t="s">
        <v>414</v>
      </c>
      <c r="C136" s="17" t="s">
        <v>415</v>
      </c>
      <c r="D136" s="17" t="s">
        <v>264</v>
      </c>
      <c r="E136" s="17" t="s">
        <v>39</v>
      </c>
      <c r="F136" s="19" t="s">
        <v>136</v>
      </c>
      <c r="G136" s="20">
        <v>10.0</v>
      </c>
      <c r="H136" s="21"/>
      <c r="I136" s="21">
        <v>43.0</v>
      </c>
      <c r="J136" s="22">
        <v>1209.0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428</v>
      </c>
      <c r="P136" t="s">
        <v>427</v>
      </c>
      <c r="Q136" t="s">
        <v>427</v>
      </c>
    </row>
    <row r="137" spans="1:18" customHeight="1" ht="58">
      <c r="A137" s="16"/>
      <c r="B137" s="18" t="s">
        <v>414</v>
      </c>
      <c r="C137" s="17" t="s">
        <v>415</v>
      </c>
      <c r="D137" s="17" t="s">
        <v>430</v>
      </c>
      <c r="E137" s="17" t="s">
        <v>39</v>
      </c>
      <c r="F137" s="19" t="s">
        <v>136</v>
      </c>
      <c r="G137" s="20">
        <v>10.0</v>
      </c>
      <c r="H137" s="21"/>
      <c r="I137" s="21">
        <v>43.0</v>
      </c>
      <c r="J137" s="22">
        <v>1900.0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431</v>
      </c>
      <c r="P137" t="s">
        <v>429</v>
      </c>
      <c r="Q137" t="s">
        <v>429</v>
      </c>
    </row>
    <row r="138" spans="1:18" customHeight="1" ht="58">
      <c r="A138" s="16"/>
      <c r="B138" s="18" t="s">
        <v>433</v>
      </c>
      <c r="C138" s="17" t="s">
        <v>434</v>
      </c>
      <c r="D138" s="17"/>
      <c r="E138" s="17"/>
      <c r="F138" s="19"/>
      <c r="G138" s="20">
        <v>1.0</v>
      </c>
      <c r="H138" s="21"/>
      <c r="I138" s="21">
        <v>466.0</v>
      </c>
      <c r="J138" s="22">
        <v>150.0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435</v>
      </c>
      <c r="P138" t="s">
        <v>432</v>
      </c>
      <c r="Q138" t="s">
        <v>432</v>
      </c>
    </row>
    <row r="139" spans="1:18" customHeight="1" ht="58">
      <c r="A139" s="16"/>
      <c r="B139" s="18" t="s">
        <v>433</v>
      </c>
      <c r="C139" s="17" t="s">
        <v>437</v>
      </c>
      <c r="D139" s="17"/>
      <c r="E139" s="17"/>
      <c r="F139" s="19"/>
      <c r="G139" s="20">
        <v>1.0</v>
      </c>
      <c r="H139" s="21"/>
      <c r="I139" s="21">
        <v>466.0</v>
      </c>
      <c r="J139" s="22">
        <v>259.0</v>
      </c>
      <c r="K139" s="50"/>
      <c r="L139" s="21" t="str">
        <f>IF(K139&gt;0,K139*I139,"")</f>
      </c>
      <c r="M139" s="52"/>
      <c r="N139" t="str">
        <f>IF(K139&gt;0,COUNTIF($K$7:K139,"&gt;0"),"")</f>
      </c>
      <c r="O139" t="s">
        <v>438</v>
      </c>
      <c r="P139" t="s">
        <v>436</v>
      </c>
      <c r="Q139" t="s">
        <v>436</v>
      </c>
    </row>
    <row r="140" spans="1:18" customHeight="1" ht="24">
      <c r="A140" s="23" t="s">
        <v>439</v>
      </c>
      <c r="B140" s="24"/>
      <c r="C140" s="25"/>
      <c r="D140" s="25"/>
      <c r="E140" s="25"/>
      <c r="F140" s="26"/>
      <c r="G140" s="27"/>
      <c r="H140" s="28"/>
      <c r="I140" s="28"/>
      <c r="J140" s="29"/>
      <c r="K140" s="49"/>
      <c r="L140" s="28"/>
      <c r="M140" s="51"/>
      <c r="N140" t="str">
        <f>IF(K140&gt;0,COUNTIF($K$7:K140,"&gt;0"),"")</f>
      </c>
    </row>
    <row r="141" spans="1:18" customHeight="1" ht="58">
      <c r="A141" s="16"/>
      <c r="B141" s="18" t="s">
        <v>441</v>
      </c>
      <c r="C141" s="17" t="s">
        <v>442</v>
      </c>
      <c r="D141" s="17" t="s">
        <v>38</v>
      </c>
      <c r="E141" s="17" t="s">
        <v>443</v>
      </c>
      <c r="F141" s="19" t="s">
        <v>136</v>
      </c>
      <c r="G141" s="20">
        <v>10.0</v>
      </c>
      <c r="H141" s="21"/>
      <c r="I141" s="21">
        <v>42.0</v>
      </c>
      <c r="J141" s="22">
        <v>230.0</v>
      </c>
      <c r="K141" s="50"/>
      <c r="L141" s="21" t="str">
        <f>IF(K141&gt;0,K141*I141,"")</f>
      </c>
      <c r="M141" s="52"/>
      <c r="N141" t="str">
        <f>IF(K141&gt;0,COUNTIF($K$7:K141,"&gt;0"),"")</f>
      </c>
      <c r="O141" t="s">
        <v>444</v>
      </c>
      <c r="P141" t="s">
        <v>440</v>
      </c>
      <c r="Q141" t="s">
        <v>440</v>
      </c>
    </row>
    <row r="142" spans="1:18" customHeight="1" ht="58">
      <c r="A142" s="16"/>
      <c r="B142" s="18" t="s">
        <v>441</v>
      </c>
      <c r="C142" s="17" t="s">
        <v>442</v>
      </c>
      <c r="D142" s="17" t="s">
        <v>446</v>
      </c>
      <c r="E142" s="17" t="s">
        <v>443</v>
      </c>
      <c r="F142" s="19" t="s">
        <v>136</v>
      </c>
      <c r="G142" s="20">
        <v>10.0</v>
      </c>
      <c r="H142" s="21"/>
      <c r="I142" s="21">
        <v>42.0</v>
      </c>
      <c r="J142" s="22">
        <v>1683.0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447</v>
      </c>
      <c r="P142" t="s">
        <v>445</v>
      </c>
      <c r="Q142" t="s">
        <v>445</v>
      </c>
    </row>
    <row r="143" spans="1:18" customHeight="1" ht="58">
      <c r="A143" s="16"/>
      <c r="B143" s="18" t="s">
        <v>449</v>
      </c>
      <c r="C143" s="17" t="s">
        <v>442</v>
      </c>
      <c r="D143" s="17" t="s">
        <v>450</v>
      </c>
      <c r="E143" s="17" t="s">
        <v>451</v>
      </c>
      <c r="F143" s="19" t="s">
        <v>136</v>
      </c>
      <c r="G143" s="20">
        <v>10.0</v>
      </c>
      <c r="H143" s="21"/>
      <c r="I143" s="21">
        <v>56.0</v>
      </c>
      <c r="J143" s="22">
        <v>2020.0</v>
      </c>
      <c r="K143" s="50"/>
      <c r="L143" s="21" t="str">
        <f>IF(K143&gt;0,K143*I143,"")</f>
      </c>
      <c r="M143" s="52"/>
      <c r="N143" t="str">
        <f>IF(K143&gt;0,COUNTIF($K$7:K143,"&gt;0"),"")</f>
      </c>
      <c r="O143" t="s">
        <v>452</v>
      </c>
      <c r="P143" t="s">
        <v>448</v>
      </c>
      <c r="Q143" t="s">
        <v>448</v>
      </c>
    </row>
    <row r="144" spans="1:18" customHeight="1" ht="58">
      <c r="A144" s="16"/>
      <c r="B144" s="18" t="s">
        <v>449</v>
      </c>
      <c r="C144" s="17" t="s">
        <v>442</v>
      </c>
      <c r="D144" s="17" t="s">
        <v>454</v>
      </c>
      <c r="E144" s="17" t="s">
        <v>451</v>
      </c>
      <c r="F144" s="19" t="s">
        <v>136</v>
      </c>
      <c r="G144" s="20">
        <v>10.0</v>
      </c>
      <c r="H144" s="21"/>
      <c r="I144" s="21">
        <v>56.0</v>
      </c>
      <c r="J144" s="22">
        <v>2700.0</v>
      </c>
      <c r="K144" s="50"/>
      <c r="L144" s="21" t="str">
        <f>IF(K144&gt;0,K144*I144,"")</f>
      </c>
      <c r="M144" s="52"/>
      <c r="N144" t="str">
        <f>IF(K144&gt;0,COUNTIF($K$7:K144,"&gt;0"),"")</f>
      </c>
      <c r="O144" t="s">
        <v>452</v>
      </c>
      <c r="P144" t="s">
        <v>453</v>
      </c>
      <c r="Q144" t="s">
        <v>453</v>
      </c>
    </row>
    <row r="145" spans="1:18" customHeight="1" ht="58">
      <c r="A145" s="16"/>
      <c r="B145" s="18" t="s">
        <v>449</v>
      </c>
      <c r="C145" s="17" t="s">
        <v>442</v>
      </c>
      <c r="D145" s="17" t="s">
        <v>38</v>
      </c>
      <c r="E145" s="17" t="s">
        <v>451</v>
      </c>
      <c r="F145" s="19" t="s">
        <v>136</v>
      </c>
      <c r="G145" s="20">
        <v>10.0</v>
      </c>
      <c r="H145" s="21"/>
      <c r="I145" s="21">
        <v>56.0</v>
      </c>
      <c r="J145" s="22">
        <v>2750.0</v>
      </c>
      <c r="K145" s="50"/>
      <c r="L145" s="21" t="str">
        <f>IF(K145&gt;0,K145*I145,"")</f>
      </c>
      <c r="M145" s="52"/>
      <c r="N145" t="str">
        <f>IF(K145&gt;0,COUNTIF($K$7:K145,"&gt;0"),"")</f>
      </c>
      <c r="O145" t="s">
        <v>456</v>
      </c>
      <c r="P145" t="s">
        <v>455</v>
      </c>
      <c r="Q145" t="s">
        <v>455</v>
      </c>
    </row>
    <row r="146" spans="1:18" customHeight="1" ht="58">
      <c r="A146" s="16"/>
      <c r="B146" s="18" t="s">
        <v>449</v>
      </c>
      <c r="C146" s="17" t="s">
        <v>442</v>
      </c>
      <c r="D146" s="17" t="s">
        <v>458</v>
      </c>
      <c r="E146" s="17" t="s">
        <v>451</v>
      </c>
      <c r="F146" s="19" t="s">
        <v>136</v>
      </c>
      <c r="G146" s="20">
        <v>10.0</v>
      </c>
      <c r="H146" s="21"/>
      <c r="I146" s="21">
        <v>56.0</v>
      </c>
      <c r="J146" s="22">
        <v>24.0</v>
      </c>
      <c r="K146" s="50"/>
      <c r="L146" s="21" t="str">
        <f>IF(K146&gt;0,K146*I146,"")</f>
      </c>
      <c r="M146" s="52"/>
      <c r="N146" t="str">
        <f>IF(K146&gt;0,COUNTIF($K$7:K146,"&gt;0"),"")</f>
      </c>
      <c r="O146" t="s">
        <v>459</v>
      </c>
      <c r="P146" t="s">
        <v>457</v>
      </c>
      <c r="Q146" t="s">
        <v>457</v>
      </c>
    </row>
    <row r="147" spans="1:18" customHeight="1" ht="58">
      <c r="A147" s="16"/>
      <c r="B147" s="18" t="s">
        <v>449</v>
      </c>
      <c r="C147" s="17" t="s">
        <v>442</v>
      </c>
      <c r="D147" s="17" t="s">
        <v>461</v>
      </c>
      <c r="E147" s="17" t="s">
        <v>451</v>
      </c>
      <c r="F147" s="19" t="s">
        <v>136</v>
      </c>
      <c r="G147" s="20">
        <v>10.0</v>
      </c>
      <c r="H147" s="21"/>
      <c r="I147" s="21">
        <v>56.0</v>
      </c>
      <c r="J147" s="22">
        <v>4990.0</v>
      </c>
      <c r="K147" s="50"/>
      <c r="L147" s="21" t="str">
        <f>IF(K147&gt;0,K147*I147,"")</f>
      </c>
      <c r="M147" s="52"/>
      <c r="N147" t="str">
        <f>IF(K147&gt;0,COUNTIF($K$7:K147,"&gt;0"),"")</f>
      </c>
      <c r="O147" t="s">
        <v>452</v>
      </c>
      <c r="P147" t="s">
        <v>460</v>
      </c>
      <c r="Q147" t="s">
        <v>460</v>
      </c>
    </row>
    <row r="148" spans="1:18" customHeight="1" ht="58">
      <c r="A148" s="16"/>
      <c r="B148" s="18" t="s">
        <v>449</v>
      </c>
      <c r="C148" s="17" t="s">
        <v>442</v>
      </c>
      <c r="D148" s="17" t="s">
        <v>50</v>
      </c>
      <c r="E148" s="17" t="s">
        <v>451</v>
      </c>
      <c r="F148" s="19" t="s">
        <v>136</v>
      </c>
      <c r="G148" s="20">
        <v>10.0</v>
      </c>
      <c r="H148" s="21"/>
      <c r="I148" s="21">
        <v>56.0</v>
      </c>
      <c r="J148" s="22">
        <v>8032.0</v>
      </c>
      <c r="K148" s="50"/>
      <c r="L148" s="21" t="str">
        <f>IF(K148&gt;0,K148*I148,"")</f>
      </c>
      <c r="M148" s="52"/>
      <c r="N148" t="str">
        <f>IF(K148&gt;0,COUNTIF($K$7:K148,"&gt;0"),"")</f>
      </c>
      <c r="O148" t="s">
        <v>463</v>
      </c>
      <c r="P148" t="s">
        <v>462</v>
      </c>
      <c r="Q148" t="s">
        <v>462</v>
      </c>
    </row>
    <row r="149" spans="1:18" customHeight="1" ht="58">
      <c r="A149" s="16"/>
      <c r="B149" s="18" t="s">
        <v>449</v>
      </c>
      <c r="C149" s="17" t="s">
        <v>442</v>
      </c>
      <c r="D149" s="17" t="s">
        <v>446</v>
      </c>
      <c r="E149" s="17" t="s">
        <v>451</v>
      </c>
      <c r="F149" s="19" t="s">
        <v>136</v>
      </c>
      <c r="G149" s="20">
        <v>10.0</v>
      </c>
      <c r="H149" s="21"/>
      <c r="I149" s="21">
        <v>56.0</v>
      </c>
      <c r="J149" s="22">
        <v>5170.0</v>
      </c>
      <c r="K149" s="50"/>
      <c r="L149" s="21" t="str">
        <f>IF(K149&gt;0,K149*I149,"")</f>
      </c>
      <c r="M149" s="52"/>
      <c r="N149" t="str">
        <f>IF(K149&gt;0,COUNTIF($K$7:K149,"&gt;0"),"")</f>
      </c>
      <c r="O149" t="s">
        <v>452</v>
      </c>
      <c r="P149" t="s">
        <v>464</v>
      </c>
      <c r="Q149" t="s">
        <v>464</v>
      </c>
    </row>
    <row r="150" spans="1:18" customHeight="1" ht="58">
      <c r="A150" s="16"/>
      <c r="B150" s="18" t="s">
        <v>449</v>
      </c>
      <c r="C150" s="17" t="s">
        <v>442</v>
      </c>
      <c r="D150" s="17" t="s">
        <v>153</v>
      </c>
      <c r="E150" s="17" t="s">
        <v>451</v>
      </c>
      <c r="F150" s="19" t="s">
        <v>136</v>
      </c>
      <c r="G150" s="20">
        <v>10.0</v>
      </c>
      <c r="H150" s="21"/>
      <c r="I150" s="21">
        <v>56.0</v>
      </c>
      <c r="J150" s="22">
        <v>5747.0</v>
      </c>
      <c r="K150" s="50"/>
      <c r="L150" s="21" t="str">
        <f>IF(K150&gt;0,K150*I150,"")</f>
      </c>
      <c r="M150" s="52"/>
      <c r="N150" t="str">
        <f>IF(K150&gt;0,COUNTIF($K$7:K150,"&gt;0"),"")</f>
      </c>
      <c r="O150" t="s">
        <v>466</v>
      </c>
      <c r="P150" t="s">
        <v>465</v>
      </c>
      <c r="Q150" t="s">
        <v>465</v>
      </c>
    </row>
    <row r="151" spans="1:18" customHeight="1" ht="58">
      <c r="A151" s="16"/>
      <c r="B151" s="18" t="s">
        <v>449</v>
      </c>
      <c r="C151" s="17" t="s">
        <v>442</v>
      </c>
      <c r="D151" s="17" t="s">
        <v>468</v>
      </c>
      <c r="E151" s="17" t="s">
        <v>451</v>
      </c>
      <c r="F151" s="19" t="s">
        <v>136</v>
      </c>
      <c r="G151" s="20">
        <v>10.0</v>
      </c>
      <c r="H151" s="21"/>
      <c r="I151" s="21">
        <v>56.0</v>
      </c>
      <c r="J151" s="22">
        <v>40.0</v>
      </c>
      <c r="K151" s="50"/>
      <c r="L151" s="21" t="str">
        <f>IF(K151&gt;0,K151*I151,"")</f>
      </c>
      <c r="M151" s="52"/>
      <c r="N151" t="str">
        <f>IF(K151&gt;0,COUNTIF($K$7:K151,"&gt;0"),"")</f>
      </c>
      <c r="O151" t="s">
        <v>469</v>
      </c>
      <c r="P151" t="s">
        <v>467</v>
      </c>
      <c r="Q151" t="s">
        <v>467</v>
      </c>
    </row>
    <row r="152" spans="1:18" customHeight="1" ht="58">
      <c r="A152" s="16"/>
      <c r="B152" s="18" t="s">
        <v>449</v>
      </c>
      <c r="C152" s="17" t="s">
        <v>442</v>
      </c>
      <c r="D152" s="17" t="s">
        <v>471</v>
      </c>
      <c r="E152" s="17" t="s">
        <v>451</v>
      </c>
      <c r="F152" s="19" t="s">
        <v>136</v>
      </c>
      <c r="G152" s="20">
        <v>10.0</v>
      </c>
      <c r="H152" s="21"/>
      <c r="I152" s="21">
        <v>56.0</v>
      </c>
      <c r="J152" s="22">
        <v>7160.0</v>
      </c>
      <c r="K152" s="50"/>
      <c r="L152" s="21" t="str">
        <f>IF(K152&gt;0,K152*I152,"")</f>
      </c>
      <c r="M152" s="52"/>
      <c r="N152" t="str">
        <f>IF(K152&gt;0,COUNTIF($K$7:K152,"&gt;0"),"")</f>
      </c>
      <c r="O152" t="s">
        <v>472</v>
      </c>
      <c r="P152" t="s">
        <v>470</v>
      </c>
      <c r="Q152" t="s">
        <v>470</v>
      </c>
    </row>
    <row r="153" spans="1:18" customHeight="1" ht="58">
      <c r="A153" s="16"/>
      <c r="B153" s="18" t="s">
        <v>449</v>
      </c>
      <c r="C153" s="17" t="s">
        <v>442</v>
      </c>
      <c r="D153" s="17" t="s">
        <v>381</v>
      </c>
      <c r="E153" s="17" t="s">
        <v>451</v>
      </c>
      <c r="F153" s="19" t="s">
        <v>136</v>
      </c>
      <c r="G153" s="20">
        <v>10.0</v>
      </c>
      <c r="H153" s="21"/>
      <c r="I153" s="21">
        <v>56.0</v>
      </c>
      <c r="J153" s="22">
        <v>6190.0</v>
      </c>
      <c r="K153" s="50"/>
      <c r="L153" s="21" t="str">
        <f>IF(K153&gt;0,K153*I153,"")</f>
      </c>
      <c r="M153" s="52"/>
      <c r="N153" t="str">
        <f>IF(K153&gt;0,COUNTIF($K$7:K153,"&gt;0"),"")</f>
      </c>
      <c r="O153" t="s">
        <v>474</v>
      </c>
      <c r="P153" t="s">
        <v>473</v>
      </c>
      <c r="Q153" t="s">
        <v>473</v>
      </c>
    </row>
    <row r="154" spans="1:18" customHeight="1" ht="58">
      <c r="A154" s="16"/>
      <c r="B154" s="18" t="s">
        <v>476</v>
      </c>
      <c r="C154" s="17" t="s">
        <v>442</v>
      </c>
      <c r="D154" s="17" t="s">
        <v>477</v>
      </c>
      <c r="E154" s="17" t="s">
        <v>478</v>
      </c>
      <c r="F154" s="19"/>
      <c r="G154" s="20">
        <v>1.0</v>
      </c>
      <c r="H154" s="21"/>
      <c r="I154" s="21">
        <v>47.0</v>
      </c>
      <c r="J154" s="22">
        <v>61.0</v>
      </c>
      <c r="K154" s="50"/>
      <c r="L154" s="21" t="str">
        <f>IF(K154&gt;0,K154*I154,"")</f>
      </c>
      <c r="M154" s="52"/>
      <c r="N154" t="str">
        <f>IF(K154&gt;0,COUNTIF($K$7:K154,"&gt;0"),"")</f>
      </c>
      <c r="O154" t="s">
        <v>479</v>
      </c>
      <c r="P154" t="s">
        <v>475</v>
      </c>
      <c r="Q154" t="s">
        <v>475</v>
      </c>
    </row>
    <row r="155" spans="1:18" customHeight="1" ht="58">
      <c r="A155" s="16"/>
      <c r="B155" s="18" t="s">
        <v>481</v>
      </c>
      <c r="C155" s="17" t="s">
        <v>442</v>
      </c>
      <c r="D155" s="17" t="s">
        <v>477</v>
      </c>
      <c r="E155" s="17" t="s">
        <v>482</v>
      </c>
      <c r="F155" s="19"/>
      <c r="G155" s="20">
        <v>1.0</v>
      </c>
      <c r="H155" s="21"/>
      <c r="I155" s="21">
        <v>47.0</v>
      </c>
      <c r="J155" s="22">
        <v>2.0</v>
      </c>
      <c r="K155" s="50"/>
      <c r="L155" s="21" t="str">
        <f>IF(K155&gt;0,K155*I155,"")</f>
      </c>
      <c r="M155" s="52"/>
      <c r="N155" t="str">
        <f>IF(K155&gt;0,COUNTIF($K$7:K155,"&gt;0"),"")</f>
      </c>
      <c r="O155" t="s">
        <v>483</v>
      </c>
      <c r="P155" t="s">
        <v>480</v>
      </c>
      <c r="Q155" t="s">
        <v>480</v>
      </c>
    </row>
    <row r="156" spans="1:18" customHeight="1" ht="58">
      <c r="A156" s="16"/>
      <c r="B156" s="18" t="s">
        <v>485</v>
      </c>
      <c r="C156" s="17" t="s">
        <v>486</v>
      </c>
      <c r="D156" s="17"/>
      <c r="E156" s="17"/>
      <c r="F156" s="19"/>
      <c r="G156" s="20">
        <v>1.0</v>
      </c>
      <c r="H156" s="21"/>
      <c r="I156" s="21">
        <v>42.0</v>
      </c>
      <c r="J156" s="22">
        <v>162.0</v>
      </c>
      <c r="K156" s="50"/>
      <c r="L156" s="21" t="str">
        <f>IF(K156&gt;0,K156*I156,"")</f>
      </c>
      <c r="M156" s="52"/>
      <c r="N156" t="str">
        <f>IF(K156&gt;0,COUNTIF($K$7:K156,"&gt;0"),"")</f>
      </c>
      <c r="O156" t="s">
        <v>487</v>
      </c>
      <c r="P156" t="s">
        <v>484</v>
      </c>
      <c r="Q156" t="s">
        <v>484</v>
      </c>
    </row>
    <row r="157" spans="1:18" customHeight="1" ht="58">
      <c r="A157" s="16"/>
      <c r="B157" s="18" t="s">
        <v>489</v>
      </c>
      <c r="C157" s="17" t="s">
        <v>490</v>
      </c>
      <c r="D157" s="17"/>
      <c r="E157" s="17"/>
      <c r="F157" s="19"/>
      <c r="G157" s="20">
        <v>1.0</v>
      </c>
      <c r="H157" s="21"/>
      <c r="I157" s="21">
        <v>31.0</v>
      </c>
      <c r="J157" s="22">
        <v>2064.0</v>
      </c>
      <c r="K157" s="50"/>
      <c r="L157" s="21" t="str">
        <f>IF(K157&gt;0,K157*I157,"")</f>
      </c>
      <c r="M157" s="52"/>
      <c r="N157" t="str">
        <f>IF(K157&gt;0,COUNTIF($K$7:K157,"&gt;0"),"")</f>
      </c>
      <c r="O157" t="s">
        <v>491</v>
      </c>
      <c r="P157" t="s">
        <v>488</v>
      </c>
      <c r="Q157" t="s">
        <v>488</v>
      </c>
    </row>
    <row r="158" spans="1:18" customHeight="1" ht="58">
      <c r="A158" s="16"/>
      <c r="B158" s="18" t="s">
        <v>489</v>
      </c>
      <c r="C158" s="17" t="s">
        <v>493</v>
      </c>
      <c r="D158" s="17"/>
      <c r="E158" s="17"/>
      <c r="F158" s="19"/>
      <c r="G158" s="20">
        <v>1.0</v>
      </c>
      <c r="H158" s="21"/>
      <c r="I158" s="21">
        <v>31.0</v>
      </c>
      <c r="J158" s="22">
        <v>807.0</v>
      </c>
      <c r="K158" s="50"/>
      <c r="L158" s="21" t="str">
        <f>IF(K158&gt;0,K158*I158,"")</f>
      </c>
      <c r="M158" s="52"/>
      <c r="N158" t="str">
        <f>IF(K158&gt;0,COUNTIF($K$7:K158,"&gt;0"),"")</f>
      </c>
      <c r="O158" t="s">
        <v>494</v>
      </c>
      <c r="P158" t="s">
        <v>492</v>
      </c>
      <c r="Q158" t="s">
        <v>492</v>
      </c>
    </row>
    <row r="159" spans="1:18" customHeight="1" ht="58">
      <c r="A159" s="16"/>
      <c r="B159" s="18" t="s">
        <v>489</v>
      </c>
      <c r="C159" s="17" t="s">
        <v>496</v>
      </c>
      <c r="D159" s="17"/>
      <c r="E159" s="17"/>
      <c r="F159" s="19"/>
      <c r="G159" s="20">
        <v>1.0</v>
      </c>
      <c r="H159" s="21"/>
      <c r="I159" s="21">
        <v>31.0</v>
      </c>
      <c r="J159" s="22">
        <v>1050.0</v>
      </c>
      <c r="K159" s="50"/>
      <c r="L159" s="21" t="str">
        <f>IF(K159&gt;0,K159*I159,"")</f>
      </c>
      <c r="M159" s="52"/>
      <c r="N159" t="str">
        <f>IF(K159&gt;0,COUNTIF($K$7:K159,"&gt;0"),"")</f>
      </c>
      <c r="O159" t="s">
        <v>497</v>
      </c>
      <c r="P159" t="s">
        <v>495</v>
      </c>
      <c r="Q159" t="s">
        <v>495</v>
      </c>
    </row>
    <row r="160" spans="1:18" customHeight="1" ht="58">
      <c r="A160" s="16"/>
      <c r="B160" s="18" t="s">
        <v>489</v>
      </c>
      <c r="C160" s="17" t="s">
        <v>499</v>
      </c>
      <c r="D160" s="17"/>
      <c r="E160" s="17"/>
      <c r="F160" s="19"/>
      <c r="G160" s="20">
        <v>1.0</v>
      </c>
      <c r="H160" s="21"/>
      <c r="I160" s="21">
        <v>42.0</v>
      </c>
      <c r="J160" s="22">
        <v>28.0</v>
      </c>
      <c r="K160" s="50"/>
      <c r="L160" s="21" t="str">
        <f>IF(K160&gt;0,K160*I160,"")</f>
      </c>
      <c r="M160" s="52"/>
      <c r="N160" t="str">
        <f>IF(K160&gt;0,COUNTIF($K$7:K160,"&gt;0"),"")</f>
      </c>
      <c r="O160" t="s">
        <v>500</v>
      </c>
      <c r="P160" t="s">
        <v>498</v>
      </c>
      <c r="Q160" t="s">
        <v>498</v>
      </c>
    </row>
    <row r="161" spans="1:18" customHeight="1" ht="58">
      <c r="A161" s="16"/>
      <c r="B161" s="18" t="s">
        <v>489</v>
      </c>
      <c r="C161" s="17" t="s">
        <v>502</v>
      </c>
      <c r="D161" s="17"/>
      <c r="E161" s="17"/>
      <c r="F161" s="19"/>
      <c r="G161" s="20">
        <v>1.0</v>
      </c>
      <c r="H161" s="21"/>
      <c r="I161" s="21">
        <v>42.0</v>
      </c>
      <c r="J161" s="22">
        <v>961.0</v>
      </c>
      <c r="K161" s="50"/>
      <c r="L161" s="21" t="str">
        <f>IF(K161&gt;0,K161*I161,"")</f>
      </c>
      <c r="M161" s="52"/>
      <c r="N161" t="str">
        <f>IF(K161&gt;0,COUNTIF($K$7:K161,"&gt;0"),"")</f>
      </c>
      <c r="O161" t="s">
        <v>503</v>
      </c>
      <c r="P161" t="s">
        <v>501</v>
      </c>
      <c r="Q161" t="s">
        <v>501</v>
      </c>
    </row>
    <row r="162" spans="1:18" customHeight="1" ht="58">
      <c r="A162" s="16"/>
      <c r="B162" s="18" t="s">
        <v>489</v>
      </c>
      <c r="C162" s="17" t="s">
        <v>505</v>
      </c>
      <c r="D162" s="17"/>
      <c r="E162" s="17"/>
      <c r="F162" s="19"/>
      <c r="G162" s="20">
        <v>1.0</v>
      </c>
      <c r="H162" s="21"/>
      <c r="I162" s="21">
        <v>53.0</v>
      </c>
      <c r="J162" s="22">
        <v>811.0</v>
      </c>
      <c r="K162" s="50"/>
      <c r="L162" s="21" t="str">
        <f>IF(K162&gt;0,K162*I162,"")</f>
      </c>
      <c r="M162" s="52"/>
      <c r="N162" t="str">
        <f>IF(K162&gt;0,COUNTIF($K$7:K162,"&gt;0"),"")</f>
      </c>
      <c r="O162" t="s">
        <v>506</v>
      </c>
      <c r="P162" t="s">
        <v>504</v>
      </c>
      <c r="Q162" t="s">
        <v>504</v>
      </c>
    </row>
    <row r="163" spans="1:18" customHeight="1" ht="58">
      <c r="A163" s="16"/>
      <c r="B163" s="18" t="s">
        <v>489</v>
      </c>
      <c r="C163" s="17" t="s">
        <v>508</v>
      </c>
      <c r="D163" s="17"/>
      <c r="E163" s="17"/>
      <c r="F163" s="19"/>
      <c r="G163" s="20">
        <v>1.0</v>
      </c>
      <c r="H163" s="21"/>
      <c r="I163" s="21">
        <v>53.0</v>
      </c>
      <c r="J163" s="22">
        <v>162.0</v>
      </c>
      <c r="K163" s="50"/>
      <c r="L163" s="21" t="str">
        <f>IF(K163&gt;0,K163*I163,"")</f>
      </c>
      <c r="M163" s="52"/>
      <c r="N163" t="str">
        <f>IF(K163&gt;0,COUNTIF($K$7:K163,"&gt;0"),"")</f>
      </c>
      <c r="O163" t="s">
        <v>509</v>
      </c>
      <c r="P163" t="s">
        <v>507</v>
      </c>
      <c r="Q163" t="s">
        <v>507</v>
      </c>
    </row>
    <row r="164" spans="1:18" customHeight="1" ht="58">
      <c r="A164" s="16"/>
      <c r="B164" s="18" t="s">
        <v>489</v>
      </c>
      <c r="C164" s="17" t="s">
        <v>511</v>
      </c>
      <c r="D164" s="17"/>
      <c r="E164" s="17"/>
      <c r="F164" s="19"/>
      <c r="G164" s="20">
        <v>1.0</v>
      </c>
      <c r="H164" s="21"/>
      <c r="I164" s="21">
        <v>53.0</v>
      </c>
      <c r="J164" s="22">
        <v>321.0</v>
      </c>
      <c r="K164" s="50"/>
      <c r="L164" s="21" t="str">
        <f>IF(K164&gt;0,K164*I164,"")</f>
      </c>
      <c r="M164" s="52"/>
      <c r="N164" t="str">
        <f>IF(K164&gt;0,COUNTIF($K$7:K164,"&gt;0"),"")</f>
      </c>
      <c r="O164" t="s">
        <v>512</v>
      </c>
      <c r="P164" t="s">
        <v>510</v>
      </c>
      <c r="Q164" t="s">
        <v>510</v>
      </c>
    </row>
    <row r="165" spans="1:18" customHeight="1" ht="58">
      <c r="A165" s="16"/>
      <c r="B165" s="18" t="s">
        <v>489</v>
      </c>
      <c r="C165" s="17" t="s">
        <v>514</v>
      </c>
      <c r="D165" s="17"/>
      <c r="E165" s="17"/>
      <c r="F165" s="19"/>
      <c r="G165" s="20">
        <v>1.0</v>
      </c>
      <c r="H165" s="21"/>
      <c r="I165" s="21">
        <v>53.0</v>
      </c>
      <c r="J165" s="22">
        <v>146.0</v>
      </c>
      <c r="K165" s="50"/>
      <c r="L165" s="21" t="str">
        <f>IF(K165&gt;0,K165*I165,"")</f>
      </c>
      <c r="M165" s="52"/>
      <c r="N165" t="str">
        <f>IF(K165&gt;0,COUNTIF($K$7:K165,"&gt;0"),"")</f>
      </c>
      <c r="O165" t="s">
        <v>515</v>
      </c>
      <c r="P165" t="s">
        <v>513</v>
      </c>
      <c r="Q165" t="s">
        <v>513</v>
      </c>
    </row>
    <row r="166" spans="1:18" customHeight="1" ht="58">
      <c r="A166" s="16"/>
      <c r="B166" s="18" t="s">
        <v>489</v>
      </c>
      <c r="C166" s="17" t="s">
        <v>517</v>
      </c>
      <c r="D166" s="17"/>
      <c r="E166" s="17"/>
      <c r="F166" s="19"/>
      <c r="G166" s="20">
        <v>1.0</v>
      </c>
      <c r="H166" s="21"/>
      <c r="I166" s="21">
        <v>53.0</v>
      </c>
      <c r="J166" s="22">
        <v>1.0</v>
      </c>
      <c r="K166" s="50"/>
      <c r="L166" s="21" t="str">
        <f>IF(K166&gt;0,K166*I166,"")</f>
      </c>
      <c r="M166" s="52"/>
      <c r="N166" t="str">
        <f>IF(K166&gt;0,COUNTIF($K$7:K166,"&gt;0"),"")</f>
      </c>
      <c r="O166" t="s">
        <v>518</v>
      </c>
      <c r="P166" t="s">
        <v>516</v>
      </c>
      <c r="Q166" t="s">
        <v>516</v>
      </c>
    </row>
    <row r="167" spans="1:18" customHeight="1" ht="58">
      <c r="A167" s="16"/>
      <c r="B167" s="18" t="s">
        <v>489</v>
      </c>
      <c r="C167" s="17" t="s">
        <v>520</v>
      </c>
      <c r="D167" s="17"/>
      <c r="E167" s="17"/>
      <c r="F167" s="19"/>
      <c r="G167" s="20">
        <v>1.0</v>
      </c>
      <c r="H167" s="21"/>
      <c r="I167" s="21">
        <v>53.0</v>
      </c>
      <c r="J167" s="22">
        <v>110.0</v>
      </c>
      <c r="K167" s="50"/>
      <c r="L167" s="21" t="str">
        <f>IF(K167&gt;0,K167*I167,"")</f>
      </c>
      <c r="M167" s="52"/>
      <c r="N167" t="str">
        <f>IF(K167&gt;0,COUNTIF($K$7:K167,"&gt;0"),"")</f>
      </c>
      <c r="O167" t="s">
        <v>521</v>
      </c>
      <c r="P167" t="s">
        <v>519</v>
      </c>
      <c r="Q167" t="s">
        <v>519</v>
      </c>
    </row>
    <row r="168" spans="1:18" customHeight="1" ht="58">
      <c r="A168" s="16"/>
      <c r="B168" s="18" t="s">
        <v>523</v>
      </c>
      <c r="C168" s="17" t="s">
        <v>524</v>
      </c>
      <c r="D168" s="17"/>
      <c r="E168" s="17"/>
      <c r="F168" s="19"/>
      <c r="G168" s="20">
        <v>1.0</v>
      </c>
      <c r="H168" s="21"/>
      <c r="I168" s="21">
        <v>31.0</v>
      </c>
      <c r="J168" s="22">
        <v>279.0</v>
      </c>
      <c r="K168" s="50"/>
      <c r="L168" s="21" t="str">
        <f>IF(K168&gt;0,K168*I168,"")</f>
      </c>
      <c r="M168" s="52"/>
      <c r="N168" t="str">
        <f>IF(K168&gt;0,COUNTIF($K$7:K168,"&gt;0"),"")</f>
      </c>
      <c r="O168" t="s">
        <v>525</v>
      </c>
      <c r="P168" t="s">
        <v>522</v>
      </c>
      <c r="Q168" t="s">
        <v>522</v>
      </c>
    </row>
    <row r="169" spans="1:18" customHeight="1" ht="58">
      <c r="A169" s="16"/>
      <c r="B169" s="18" t="s">
        <v>523</v>
      </c>
      <c r="C169" s="17" t="s">
        <v>527</v>
      </c>
      <c r="D169" s="17"/>
      <c r="E169" s="17"/>
      <c r="F169" s="19"/>
      <c r="G169" s="20">
        <v>1.0</v>
      </c>
      <c r="H169" s="21"/>
      <c r="I169" s="21">
        <v>31.0</v>
      </c>
      <c r="J169" s="22">
        <v>16.0</v>
      </c>
      <c r="K169" s="50"/>
      <c r="L169" s="21" t="str">
        <f>IF(K169&gt;0,K169*I169,"")</f>
      </c>
      <c r="M169" s="52"/>
      <c r="N169" t="str">
        <f>IF(K169&gt;0,COUNTIF($K$7:K169,"&gt;0"),"")</f>
      </c>
      <c r="O169" t="s">
        <v>528</v>
      </c>
      <c r="P169" t="s">
        <v>526</v>
      </c>
      <c r="Q169" t="s">
        <v>526</v>
      </c>
    </row>
    <row r="170" spans="1:18" customHeight="1" ht="58">
      <c r="A170" s="16"/>
      <c r="B170" s="18" t="s">
        <v>523</v>
      </c>
      <c r="C170" s="17" t="s">
        <v>530</v>
      </c>
      <c r="D170" s="17"/>
      <c r="E170" s="17"/>
      <c r="F170" s="19"/>
      <c r="G170" s="20">
        <v>1.0</v>
      </c>
      <c r="H170" s="21"/>
      <c r="I170" s="21">
        <v>42.0</v>
      </c>
      <c r="J170" s="22">
        <v>129.0</v>
      </c>
      <c r="K170" s="50"/>
      <c r="L170" s="21" t="str">
        <f>IF(K170&gt;0,K170*I170,"")</f>
      </c>
      <c r="M170" s="52"/>
      <c r="N170" t="str">
        <f>IF(K170&gt;0,COUNTIF($K$7:K170,"&gt;0"),"")</f>
      </c>
      <c r="O170" t="s">
        <v>531</v>
      </c>
      <c r="P170" t="s">
        <v>529</v>
      </c>
      <c r="Q170" t="s">
        <v>529</v>
      </c>
    </row>
    <row r="171" spans="1:18" customHeight="1" ht="58">
      <c r="A171" s="16"/>
      <c r="B171" s="18" t="s">
        <v>523</v>
      </c>
      <c r="C171" s="17" t="s">
        <v>533</v>
      </c>
      <c r="D171" s="17"/>
      <c r="E171" s="17"/>
      <c r="F171" s="19"/>
      <c r="G171" s="20">
        <v>1.0</v>
      </c>
      <c r="H171" s="21"/>
      <c r="I171" s="21">
        <v>53.0</v>
      </c>
      <c r="J171" s="22">
        <v>38.0</v>
      </c>
      <c r="K171" s="50"/>
      <c r="L171" s="21" t="str">
        <f>IF(K171&gt;0,K171*I171,"")</f>
      </c>
      <c r="M171" s="52"/>
      <c r="N171" t="str">
        <f>IF(K171&gt;0,COUNTIF($K$7:K171,"&gt;0"),"")</f>
      </c>
      <c r="O171" t="s">
        <v>534</v>
      </c>
      <c r="P171" t="s">
        <v>532</v>
      </c>
      <c r="Q171" t="s">
        <v>532</v>
      </c>
    </row>
    <row r="172" spans="1:18" customHeight="1" ht="58">
      <c r="A172" s="16"/>
      <c r="B172" s="18" t="s">
        <v>523</v>
      </c>
      <c r="C172" s="17" t="s">
        <v>536</v>
      </c>
      <c r="D172" s="17"/>
      <c r="E172" s="17"/>
      <c r="F172" s="19"/>
      <c r="G172" s="20">
        <v>1.0</v>
      </c>
      <c r="H172" s="21"/>
      <c r="I172" s="21">
        <v>53.0</v>
      </c>
      <c r="J172" s="22">
        <v>4.0</v>
      </c>
      <c r="K172" s="50"/>
      <c r="L172" s="21" t="str">
        <f>IF(K172&gt;0,K172*I172,"")</f>
      </c>
      <c r="M172" s="52"/>
      <c r="N172" t="str">
        <f>IF(K172&gt;0,COUNTIF($K$7:K172,"&gt;0"),"")</f>
      </c>
      <c r="O172" t="s">
        <v>537</v>
      </c>
      <c r="P172" t="s">
        <v>535</v>
      </c>
      <c r="Q172" t="s">
        <v>535</v>
      </c>
    </row>
    <row r="173" spans="1:18" customHeight="1" ht="58">
      <c r="A173" s="16"/>
      <c r="B173" s="18" t="s">
        <v>523</v>
      </c>
      <c r="C173" s="17" t="s">
        <v>539</v>
      </c>
      <c r="D173" s="17"/>
      <c r="E173" s="17"/>
      <c r="F173" s="19"/>
      <c r="G173" s="20">
        <v>1.0</v>
      </c>
      <c r="H173" s="21"/>
      <c r="I173" s="21">
        <v>53.0</v>
      </c>
      <c r="J173" s="22">
        <v>102.0</v>
      </c>
      <c r="K173" s="50"/>
      <c r="L173" s="21" t="str">
        <f>IF(K173&gt;0,K173*I173,"")</f>
      </c>
      <c r="M173" s="52"/>
      <c r="N173" t="str">
        <f>IF(K173&gt;0,COUNTIF($K$7:K173,"&gt;0"),"")</f>
      </c>
      <c r="O173" t="s">
        <v>540</v>
      </c>
      <c r="P173" t="s">
        <v>538</v>
      </c>
      <c r="Q173" t="s">
        <v>538</v>
      </c>
    </row>
    <row r="174" spans="1:18" customHeight="1" ht="58">
      <c r="A174" s="16"/>
      <c r="B174" s="18" t="s">
        <v>542</v>
      </c>
      <c r="C174" s="17" t="s">
        <v>543</v>
      </c>
      <c r="D174" s="17"/>
      <c r="E174" s="17"/>
      <c r="F174" s="19"/>
      <c r="G174" s="20">
        <v>1.0</v>
      </c>
      <c r="H174" s="21"/>
      <c r="I174" s="21">
        <v>31.0</v>
      </c>
      <c r="J174" s="22">
        <v>283.0</v>
      </c>
      <c r="K174" s="50"/>
      <c r="L174" s="21" t="str">
        <f>IF(K174&gt;0,K174*I174,"")</f>
      </c>
      <c r="M174" s="52"/>
      <c r="N174" t="str">
        <f>IF(K174&gt;0,COUNTIF($K$7:K174,"&gt;0"),"")</f>
      </c>
      <c r="O174" t="s">
        <v>544</v>
      </c>
      <c r="P174" t="s">
        <v>541</v>
      </c>
      <c r="Q174" t="s">
        <v>541</v>
      </c>
    </row>
    <row r="175" spans="1:18" customHeight="1" ht="58">
      <c r="A175" s="16"/>
      <c r="B175" s="18" t="s">
        <v>542</v>
      </c>
      <c r="C175" s="17" t="s">
        <v>546</v>
      </c>
      <c r="D175" s="17"/>
      <c r="E175" s="17"/>
      <c r="F175" s="19"/>
      <c r="G175" s="20">
        <v>1.0</v>
      </c>
      <c r="H175" s="21"/>
      <c r="I175" s="21">
        <v>31.0</v>
      </c>
      <c r="J175" s="22">
        <v>663.0</v>
      </c>
      <c r="K175" s="50"/>
      <c r="L175" s="21" t="str">
        <f>IF(K175&gt;0,K175*I175,"")</f>
      </c>
      <c r="M175" s="52"/>
      <c r="N175" t="str">
        <f>IF(K175&gt;0,COUNTIF($K$7:K175,"&gt;0"),"")</f>
      </c>
      <c r="O175" t="s">
        <v>547</v>
      </c>
      <c r="P175" t="s">
        <v>545</v>
      </c>
      <c r="Q175" t="s">
        <v>545</v>
      </c>
    </row>
    <row r="176" spans="1:18" customHeight="1" ht="58">
      <c r="A176" s="16"/>
      <c r="B176" s="18" t="s">
        <v>542</v>
      </c>
      <c r="C176" s="17" t="s">
        <v>549</v>
      </c>
      <c r="D176" s="17"/>
      <c r="E176" s="17"/>
      <c r="F176" s="19"/>
      <c r="G176" s="20">
        <v>1.0</v>
      </c>
      <c r="H176" s="21"/>
      <c r="I176" s="21">
        <v>31.0</v>
      </c>
      <c r="J176" s="22">
        <v>817.0</v>
      </c>
      <c r="K176" s="50"/>
      <c r="L176" s="21" t="str">
        <f>IF(K176&gt;0,K176*I176,"")</f>
      </c>
      <c r="M176" s="52"/>
      <c r="N176" t="str">
        <f>IF(K176&gt;0,COUNTIF($K$7:K176,"&gt;0"),"")</f>
      </c>
      <c r="O176" t="s">
        <v>550</v>
      </c>
      <c r="P176" t="s">
        <v>548</v>
      </c>
      <c r="Q176" t="s">
        <v>548</v>
      </c>
    </row>
    <row r="177" spans="1:18" customHeight="1" ht="58">
      <c r="A177" s="16"/>
      <c r="B177" s="18" t="s">
        <v>542</v>
      </c>
      <c r="C177" s="17" t="s">
        <v>552</v>
      </c>
      <c r="D177" s="17"/>
      <c r="E177" s="17"/>
      <c r="F177" s="19"/>
      <c r="G177" s="20">
        <v>1.0</v>
      </c>
      <c r="H177" s="21"/>
      <c r="I177" s="21">
        <v>31.0</v>
      </c>
      <c r="J177" s="22">
        <v>227.0</v>
      </c>
      <c r="K177" s="50"/>
      <c r="L177" s="21" t="str">
        <f>IF(K177&gt;0,K177*I177,"")</f>
      </c>
      <c r="M177" s="52"/>
      <c r="N177" t="str">
        <f>IF(K177&gt;0,COUNTIF($K$7:K177,"&gt;0"),"")</f>
      </c>
      <c r="O177" t="s">
        <v>553</v>
      </c>
      <c r="P177" t="s">
        <v>551</v>
      </c>
      <c r="Q177" t="s">
        <v>551</v>
      </c>
    </row>
    <row r="178" spans="1:18" customHeight="1" ht="58">
      <c r="A178" s="16"/>
      <c r="B178" s="18" t="s">
        <v>542</v>
      </c>
      <c r="C178" s="17" t="s">
        <v>555</v>
      </c>
      <c r="D178" s="17"/>
      <c r="E178" s="17"/>
      <c r="F178" s="19"/>
      <c r="G178" s="20">
        <v>1.0</v>
      </c>
      <c r="H178" s="21"/>
      <c r="I178" s="21">
        <v>42.0</v>
      </c>
      <c r="J178" s="22">
        <v>462.0</v>
      </c>
      <c r="K178" s="50"/>
      <c r="L178" s="21" t="str">
        <f>IF(K178&gt;0,K178*I178,"")</f>
      </c>
      <c r="M178" s="52"/>
      <c r="N178" t="str">
        <f>IF(K178&gt;0,COUNTIF($K$7:K178,"&gt;0"),"")</f>
      </c>
      <c r="O178" t="s">
        <v>556</v>
      </c>
      <c r="P178" t="s">
        <v>554</v>
      </c>
      <c r="Q178" t="s">
        <v>554</v>
      </c>
    </row>
    <row r="179" spans="1:18" customHeight="1" ht="58">
      <c r="A179" s="16"/>
      <c r="B179" s="18" t="s">
        <v>542</v>
      </c>
      <c r="C179" s="17" t="s">
        <v>558</v>
      </c>
      <c r="D179" s="17"/>
      <c r="E179" s="17"/>
      <c r="F179" s="19"/>
      <c r="G179" s="20">
        <v>1.0</v>
      </c>
      <c r="H179" s="21"/>
      <c r="I179" s="21">
        <v>42.0</v>
      </c>
      <c r="J179" s="22">
        <v>153.0</v>
      </c>
      <c r="K179" s="50"/>
      <c r="L179" s="21" t="str">
        <f>IF(K179&gt;0,K179*I179,"")</f>
      </c>
      <c r="M179" s="52"/>
      <c r="N179" t="str">
        <f>IF(K179&gt;0,COUNTIF($K$7:K179,"&gt;0"),"")</f>
      </c>
      <c r="O179" t="s">
        <v>559</v>
      </c>
      <c r="P179" t="s">
        <v>557</v>
      </c>
      <c r="Q179" t="s">
        <v>557</v>
      </c>
    </row>
    <row r="180" spans="1:18" customHeight="1" ht="58">
      <c r="A180" s="16"/>
      <c r="B180" s="18" t="s">
        <v>542</v>
      </c>
      <c r="C180" s="17" t="s">
        <v>561</v>
      </c>
      <c r="D180" s="17"/>
      <c r="E180" s="17"/>
      <c r="F180" s="19"/>
      <c r="G180" s="20">
        <v>1.0</v>
      </c>
      <c r="H180" s="21"/>
      <c r="I180" s="21">
        <v>42.0</v>
      </c>
      <c r="J180" s="22">
        <v>247.0</v>
      </c>
      <c r="K180" s="50"/>
      <c r="L180" s="21" t="str">
        <f>IF(K180&gt;0,K180*I180,"")</f>
      </c>
      <c r="M180" s="52"/>
      <c r="N180" t="str">
        <f>IF(K180&gt;0,COUNTIF($K$7:K180,"&gt;0"),"")</f>
      </c>
      <c r="O180" t="s">
        <v>562</v>
      </c>
      <c r="P180" t="s">
        <v>560</v>
      </c>
      <c r="Q180" t="s">
        <v>560</v>
      </c>
    </row>
    <row r="181" spans="1:18" customHeight="1" ht="58">
      <c r="A181" s="16"/>
      <c r="B181" s="18" t="s">
        <v>542</v>
      </c>
      <c r="C181" s="17" t="s">
        <v>564</v>
      </c>
      <c r="D181" s="17"/>
      <c r="E181" s="17"/>
      <c r="F181" s="19"/>
      <c r="G181" s="20">
        <v>1.0</v>
      </c>
      <c r="H181" s="21"/>
      <c r="I181" s="21">
        <v>42.0</v>
      </c>
      <c r="J181" s="22">
        <v>411.0</v>
      </c>
      <c r="K181" s="50"/>
      <c r="L181" s="21" t="str">
        <f>IF(K181&gt;0,K181*I181,"")</f>
      </c>
      <c r="M181" s="52"/>
      <c r="N181" t="str">
        <f>IF(K181&gt;0,COUNTIF($K$7:K181,"&gt;0"),"")</f>
      </c>
      <c r="O181" t="s">
        <v>565</v>
      </c>
      <c r="P181" t="s">
        <v>563</v>
      </c>
      <c r="Q181" t="s">
        <v>563</v>
      </c>
    </row>
    <row r="182" spans="1:18" customHeight="1" ht="58">
      <c r="A182" s="16"/>
      <c r="B182" s="18" t="s">
        <v>542</v>
      </c>
      <c r="C182" s="17" t="s">
        <v>567</v>
      </c>
      <c r="D182" s="17"/>
      <c r="E182" s="17"/>
      <c r="F182" s="19"/>
      <c r="G182" s="20">
        <v>1.0</v>
      </c>
      <c r="H182" s="21"/>
      <c r="I182" s="21">
        <v>53.0</v>
      </c>
      <c r="J182" s="22">
        <v>53.0</v>
      </c>
      <c r="K182" s="50"/>
      <c r="L182" s="21" t="str">
        <f>IF(K182&gt;0,K182*I182,"")</f>
      </c>
      <c r="M182" s="52"/>
      <c r="N182" t="str">
        <f>IF(K182&gt;0,COUNTIF($K$7:K182,"&gt;0"),"")</f>
      </c>
      <c r="O182" t="s">
        <v>568</v>
      </c>
      <c r="P182" t="s">
        <v>566</v>
      </c>
      <c r="Q182" t="s">
        <v>566</v>
      </c>
    </row>
    <row r="183" spans="1:18" customHeight="1" ht="58">
      <c r="A183" s="16"/>
      <c r="B183" s="18" t="s">
        <v>570</v>
      </c>
      <c r="C183" s="17" t="s">
        <v>571</v>
      </c>
      <c r="D183" s="17"/>
      <c r="E183" s="17"/>
      <c r="F183" s="19" t="s">
        <v>136</v>
      </c>
      <c r="G183" s="20">
        <v>10.0</v>
      </c>
      <c r="H183" s="21"/>
      <c r="I183" s="21">
        <v>139.0</v>
      </c>
      <c r="J183" s="22">
        <v>2592.0</v>
      </c>
      <c r="K183" s="50"/>
      <c r="L183" s="21" t="str">
        <f>IF(K183&gt;0,K183*I183,"")</f>
      </c>
      <c r="M183" s="52"/>
      <c r="N183" t="str">
        <f>IF(K183&gt;0,COUNTIF($K$7:K183,"&gt;0"),"")</f>
      </c>
      <c r="O183" t="s">
        <v>572</v>
      </c>
      <c r="P183" t="s">
        <v>569</v>
      </c>
      <c r="Q183" t="s">
        <v>569</v>
      </c>
    </row>
    <row r="184" spans="1:18" customHeight="1" ht="58">
      <c r="A184" s="16"/>
      <c r="B184" s="18" t="s">
        <v>570</v>
      </c>
      <c r="C184" s="17" t="s">
        <v>574</v>
      </c>
      <c r="D184" s="17"/>
      <c r="E184" s="17"/>
      <c r="F184" s="19" t="s">
        <v>136</v>
      </c>
      <c r="G184" s="20">
        <v>10.0</v>
      </c>
      <c r="H184" s="21"/>
      <c r="I184" s="21">
        <v>139.0</v>
      </c>
      <c r="J184" s="22">
        <v>2669.0</v>
      </c>
      <c r="K184" s="50"/>
      <c r="L184" s="21" t="str">
        <f>IF(K184&gt;0,K184*I184,"")</f>
      </c>
      <c r="M184" s="52"/>
      <c r="N184" t="str">
        <f>IF(K184&gt;0,COUNTIF($K$7:K184,"&gt;0"),"")</f>
      </c>
      <c r="O184" t="s">
        <v>575</v>
      </c>
      <c r="P184" t="s">
        <v>573</v>
      </c>
      <c r="Q184" t="s">
        <v>573</v>
      </c>
    </row>
    <row r="185" spans="1:18" customHeight="1" ht="58">
      <c r="A185" s="16"/>
      <c r="B185" s="18" t="s">
        <v>577</v>
      </c>
      <c r="C185" s="17" t="s">
        <v>578</v>
      </c>
      <c r="D185" s="17"/>
      <c r="E185" s="17"/>
      <c r="F185" s="19"/>
      <c r="G185" s="20">
        <v>1.0</v>
      </c>
      <c r="H185" s="21"/>
      <c r="I185" s="21">
        <v>43.0</v>
      </c>
      <c r="J185" s="22">
        <v>3298.0</v>
      </c>
      <c r="K185" s="50"/>
      <c r="L185" s="21" t="str">
        <f>IF(K185&gt;0,K185*I185,"")</f>
      </c>
      <c r="M185" s="52"/>
      <c r="N185" t="str">
        <f>IF(K185&gt;0,COUNTIF($K$7:K185,"&gt;0"),"")</f>
      </c>
      <c r="O185" t="s">
        <v>579</v>
      </c>
      <c r="P185" t="s">
        <v>576</v>
      </c>
      <c r="Q185" t="s">
        <v>576</v>
      </c>
    </row>
    <row r="186" spans="1:18" customHeight="1" ht="58">
      <c r="A186" s="16"/>
      <c r="B186" s="18" t="s">
        <v>581</v>
      </c>
      <c r="C186" s="17" t="s">
        <v>582</v>
      </c>
      <c r="D186" s="17"/>
      <c r="E186" s="17"/>
      <c r="F186" s="19"/>
      <c r="G186" s="20">
        <v>1.0</v>
      </c>
      <c r="H186" s="21"/>
      <c r="I186" s="21">
        <v>43.0</v>
      </c>
      <c r="J186" s="22">
        <v>4360.0</v>
      </c>
      <c r="K186" s="50"/>
      <c r="L186" s="21" t="str">
        <f>IF(K186&gt;0,K186*I186,"")</f>
      </c>
      <c r="M186" s="52"/>
      <c r="N186" t="str">
        <f>IF(K186&gt;0,COUNTIF($K$7:K186,"&gt;0"),"")</f>
      </c>
      <c r="O186" t="s">
        <v>583</v>
      </c>
      <c r="P186" t="s">
        <v>580</v>
      </c>
      <c r="Q186" t="s">
        <v>580</v>
      </c>
    </row>
    <row r="187" spans="1:18" customHeight="1" ht="58">
      <c r="A187" s="16"/>
      <c r="B187" s="18" t="s">
        <v>585</v>
      </c>
      <c r="C187" s="17" t="s">
        <v>586</v>
      </c>
      <c r="D187" s="17"/>
      <c r="E187" s="17"/>
      <c r="F187" s="19" t="s">
        <v>136</v>
      </c>
      <c r="G187" s="20">
        <v>10.0</v>
      </c>
      <c r="H187" s="21"/>
      <c r="I187" s="21">
        <v>59.0</v>
      </c>
      <c r="J187" s="22">
        <v>121.0</v>
      </c>
      <c r="K187" s="50"/>
      <c r="L187" s="21" t="str">
        <f>IF(K187&gt;0,K187*I187,"")</f>
      </c>
      <c r="M187" s="52"/>
      <c r="N187" t="str">
        <f>IF(K187&gt;0,COUNTIF($K$7:K187,"&gt;0"),"")</f>
      </c>
      <c r="O187" t="s">
        <v>587</v>
      </c>
      <c r="P187" t="s">
        <v>584</v>
      </c>
      <c r="Q187" t="s">
        <v>584</v>
      </c>
    </row>
    <row r="188" spans="1:18" customHeight="1" ht="58">
      <c r="A188" s="16"/>
      <c r="B188" s="18" t="s">
        <v>585</v>
      </c>
      <c r="C188" s="17" t="s">
        <v>589</v>
      </c>
      <c r="D188" s="17"/>
      <c r="E188" s="17"/>
      <c r="F188" s="19" t="s">
        <v>136</v>
      </c>
      <c r="G188" s="20">
        <v>10.0</v>
      </c>
      <c r="H188" s="21"/>
      <c r="I188" s="21">
        <v>59.0</v>
      </c>
      <c r="J188" s="22">
        <v>19.0</v>
      </c>
      <c r="K188" s="50"/>
      <c r="L188" s="21" t="str">
        <f>IF(K188&gt;0,K188*I188,"")</f>
      </c>
      <c r="M188" s="52"/>
      <c r="N188" t="str">
        <f>IF(K188&gt;0,COUNTIF($K$7:K188,"&gt;0"),"")</f>
      </c>
      <c r="O188" t="s">
        <v>590</v>
      </c>
      <c r="P188" t="s">
        <v>588</v>
      </c>
      <c r="Q188" t="s">
        <v>588</v>
      </c>
    </row>
    <row r="189" spans="1:18" customHeight="1" ht="58">
      <c r="A189" s="16"/>
      <c r="B189" s="18" t="s">
        <v>585</v>
      </c>
      <c r="C189" s="17" t="s">
        <v>592</v>
      </c>
      <c r="D189" s="17"/>
      <c r="E189" s="17"/>
      <c r="F189" s="19" t="s">
        <v>136</v>
      </c>
      <c r="G189" s="20">
        <v>10.0</v>
      </c>
      <c r="H189" s="21"/>
      <c r="I189" s="21">
        <v>76.0</v>
      </c>
      <c r="J189" s="22">
        <v>467.0</v>
      </c>
      <c r="K189" s="50"/>
      <c r="L189" s="21" t="str">
        <f>IF(K189&gt;0,K189*I189,"")</f>
      </c>
      <c r="M189" s="52"/>
      <c r="N189" t="str">
        <f>IF(K189&gt;0,COUNTIF($K$7:K189,"&gt;0"),"")</f>
      </c>
      <c r="O189" t="s">
        <v>593</v>
      </c>
      <c r="P189" t="s">
        <v>591</v>
      </c>
      <c r="Q189" t="s">
        <v>591</v>
      </c>
    </row>
    <row r="190" spans="1:18" customHeight="1" ht="58">
      <c r="A190" s="16"/>
      <c r="B190" s="18" t="s">
        <v>585</v>
      </c>
      <c r="C190" s="17" t="s">
        <v>595</v>
      </c>
      <c r="D190" s="17"/>
      <c r="E190" s="17"/>
      <c r="F190" s="19" t="s">
        <v>136</v>
      </c>
      <c r="G190" s="20">
        <v>10.0</v>
      </c>
      <c r="H190" s="21"/>
      <c r="I190" s="21">
        <v>76.0</v>
      </c>
      <c r="J190" s="22">
        <v>155.0</v>
      </c>
      <c r="K190" s="50"/>
      <c r="L190" s="21" t="str">
        <f>IF(K190&gt;0,K190*I190,"")</f>
      </c>
      <c r="M190" s="52"/>
      <c r="N190" t="str">
        <f>IF(K190&gt;0,COUNTIF($K$7:K190,"&gt;0"),"")</f>
      </c>
      <c r="O190" t="s">
        <v>596</v>
      </c>
      <c r="P190" t="s">
        <v>594</v>
      </c>
      <c r="Q190" t="s">
        <v>594</v>
      </c>
    </row>
    <row r="191" spans="1:18" customHeight="1" ht="58">
      <c r="A191" s="16"/>
      <c r="B191" s="18" t="s">
        <v>585</v>
      </c>
      <c r="C191" s="17" t="s">
        <v>598</v>
      </c>
      <c r="D191" s="17"/>
      <c r="E191" s="17"/>
      <c r="F191" s="19" t="s">
        <v>136</v>
      </c>
      <c r="G191" s="20">
        <v>10.0</v>
      </c>
      <c r="H191" s="21"/>
      <c r="I191" s="21">
        <v>76.0</v>
      </c>
      <c r="J191" s="22">
        <v>330.0</v>
      </c>
      <c r="K191" s="50"/>
      <c r="L191" s="21" t="str">
        <f>IF(K191&gt;0,K191*I191,"")</f>
      </c>
      <c r="M191" s="52"/>
      <c r="N191" t="str">
        <f>IF(K191&gt;0,COUNTIF($K$7:K191,"&gt;0"),"")</f>
      </c>
      <c r="O191" t="s">
        <v>599</v>
      </c>
      <c r="P191" t="s">
        <v>597</v>
      </c>
      <c r="Q191" t="s">
        <v>597</v>
      </c>
    </row>
    <row r="192" spans="1:18" customHeight="1" ht="58">
      <c r="A192" s="16"/>
      <c r="B192" s="18" t="s">
        <v>585</v>
      </c>
      <c r="C192" s="17" t="s">
        <v>601</v>
      </c>
      <c r="D192" s="17"/>
      <c r="E192" s="17"/>
      <c r="F192" s="19" t="s">
        <v>136</v>
      </c>
      <c r="G192" s="20">
        <v>10.0</v>
      </c>
      <c r="H192" s="21"/>
      <c r="I192" s="21">
        <v>50.0</v>
      </c>
      <c r="J192" s="22">
        <v>932.0</v>
      </c>
      <c r="K192" s="50"/>
      <c r="L192" s="21" t="str">
        <f>IF(K192&gt;0,K192*I192,"")</f>
      </c>
      <c r="M192" s="52"/>
      <c r="N192" t="str">
        <f>IF(K192&gt;0,COUNTIF($K$7:K192,"&gt;0"),"")</f>
      </c>
      <c r="O192" t="s">
        <v>602</v>
      </c>
      <c r="P192" t="s">
        <v>600</v>
      </c>
      <c r="Q192" t="s">
        <v>600</v>
      </c>
    </row>
    <row r="193" spans="1:18" customHeight="1" ht="58">
      <c r="A193" s="16"/>
      <c r="B193" s="18" t="s">
        <v>585</v>
      </c>
      <c r="C193" s="17" t="s">
        <v>604</v>
      </c>
      <c r="D193" s="17"/>
      <c r="E193" s="17"/>
      <c r="F193" s="19" t="s">
        <v>136</v>
      </c>
      <c r="G193" s="20">
        <v>10.0</v>
      </c>
      <c r="H193" s="21"/>
      <c r="I193" s="21">
        <v>50.0</v>
      </c>
      <c r="J193" s="22">
        <v>620.0</v>
      </c>
      <c r="K193" s="50"/>
      <c r="L193" s="21" t="str">
        <f>IF(K193&gt;0,K193*I193,"")</f>
      </c>
      <c r="M193" s="52"/>
      <c r="N193" t="str">
        <f>IF(K193&gt;0,COUNTIF($K$7:K193,"&gt;0"),"")</f>
      </c>
      <c r="O193" t="s">
        <v>605</v>
      </c>
      <c r="P193" t="s">
        <v>603</v>
      </c>
      <c r="Q193" t="s">
        <v>603</v>
      </c>
    </row>
    <row r="194" spans="1:18" customHeight="1" ht="58">
      <c r="A194" s="16"/>
      <c r="B194" s="18" t="s">
        <v>585</v>
      </c>
      <c r="C194" s="17" t="s">
        <v>607</v>
      </c>
      <c r="D194" s="17"/>
      <c r="E194" s="17"/>
      <c r="F194" s="19" t="s">
        <v>136</v>
      </c>
      <c r="G194" s="20">
        <v>10.0</v>
      </c>
      <c r="H194" s="21"/>
      <c r="I194" s="21">
        <v>50.0</v>
      </c>
      <c r="J194" s="22">
        <v>278.0</v>
      </c>
      <c r="K194" s="50"/>
      <c r="L194" s="21" t="str">
        <f>IF(K194&gt;0,K194*I194,"")</f>
      </c>
      <c r="M194" s="52"/>
      <c r="N194" t="str">
        <f>IF(K194&gt;0,COUNTIF($K$7:K194,"&gt;0"),"")</f>
      </c>
      <c r="O194" t="s">
        <v>608</v>
      </c>
      <c r="P194" t="s">
        <v>606</v>
      </c>
      <c r="Q194" t="s">
        <v>606</v>
      </c>
    </row>
    <row r="195" spans="1:18" customHeight="1" ht="58">
      <c r="A195" s="16"/>
      <c r="B195" s="18" t="s">
        <v>585</v>
      </c>
      <c r="C195" s="17" t="s">
        <v>610</v>
      </c>
      <c r="D195" s="17"/>
      <c r="E195" s="17"/>
      <c r="F195" s="19" t="s">
        <v>136</v>
      </c>
      <c r="G195" s="20">
        <v>10.0</v>
      </c>
      <c r="H195" s="21"/>
      <c r="I195" s="21">
        <v>102.0</v>
      </c>
      <c r="J195" s="22">
        <v>188.0</v>
      </c>
      <c r="K195" s="50"/>
      <c r="L195" s="21" t="str">
        <f>IF(K195&gt;0,K195*I195,"")</f>
      </c>
      <c r="M195" s="52"/>
      <c r="N195" t="str">
        <f>IF(K195&gt;0,COUNTIF($K$7:K195,"&gt;0"),"")</f>
      </c>
      <c r="O195" t="s">
        <v>611</v>
      </c>
      <c r="P195" t="s">
        <v>609</v>
      </c>
      <c r="Q195" t="s">
        <v>609</v>
      </c>
    </row>
    <row r="196" spans="1:18" customHeight="1" ht="58">
      <c r="A196" s="16"/>
      <c r="B196" s="18" t="s">
        <v>585</v>
      </c>
      <c r="C196" s="17" t="s">
        <v>613</v>
      </c>
      <c r="D196" s="17"/>
      <c r="E196" s="17"/>
      <c r="F196" s="19" t="s">
        <v>136</v>
      </c>
      <c r="G196" s="20">
        <v>10.0</v>
      </c>
      <c r="H196" s="21"/>
      <c r="I196" s="21">
        <v>57.0</v>
      </c>
      <c r="J196" s="22">
        <v>512.0</v>
      </c>
      <c r="K196" s="50"/>
      <c r="L196" s="21" t="str">
        <f>IF(K196&gt;0,K196*I196,"")</f>
      </c>
      <c r="M196" s="52"/>
      <c r="N196" t="str">
        <f>IF(K196&gt;0,COUNTIF($K$7:K196,"&gt;0"),"")</f>
      </c>
      <c r="O196" t="s">
        <v>614</v>
      </c>
      <c r="P196" t="s">
        <v>612</v>
      </c>
      <c r="Q196" t="s">
        <v>612</v>
      </c>
    </row>
    <row r="197" spans="1:18" customHeight="1" ht="58">
      <c r="A197" s="16"/>
      <c r="B197" s="18" t="s">
        <v>585</v>
      </c>
      <c r="C197" s="17" t="s">
        <v>616</v>
      </c>
      <c r="D197" s="17"/>
      <c r="E197" s="17"/>
      <c r="F197" s="19" t="s">
        <v>136</v>
      </c>
      <c r="G197" s="20">
        <v>10.0</v>
      </c>
      <c r="H197" s="21"/>
      <c r="I197" s="21">
        <v>57.0</v>
      </c>
      <c r="J197" s="22">
        <v>1390.0</v>
      </c>
      <c r="K197" s="50"/>
      <c r="L197" s="21" t="str">
        <f>IF(K197&gt;0,K197*I197,"")</f>
      </c>
      <c r="M197" s="52"/>
      <c r="N197" t="str">
        <f>IF(K197&gt;0,COUNTIF($K$7:K197,"&gt;0"),"")</f>
      </c>
      <c r="O197" t="s">
        <v>617</v>
      </c>
      <c r="P197" t="s">
        <v>615</v>
      </c>
      <c r="Q197" t="s">
        <v>615</v>
      </c>
    </row>
    <row r="198" spans="1:18" customHeight="1" ht="58">
      <c r="A198" s="16"/>
      <c r="B198" s="18" t="s">
        <v>585</v>
      </c>
      <c r="C198" s="17" t="s">
        <v>619</v>
      </c>
      <c r="D198" s="17"/>
      <c r="E198" s="17"/>
      <c r="F198" s="19" t="s">
        <v>136</v>
      </c>
      <c r="G198" s="20">
        <v>10.0</v>
      </c>
      <c r="H198" s="21"/>
      <c r="I198" s="21">
        <v>57.0</v>
      </c>
      <c r="J198" s="22">
        <v>620.0</v>
      </c>
      <c r="K198" s="50"/>
      <c r="L198" s="21" t="str">
        <f>IF(K198&gt;0,K198*I198,"")</f>
      </c>
      <c r="M198" s="52"/>
      <c r="N198" t="str">
        <f>IF(K198&gt;0,COUNTIF($K$7:K198,"&gt;0"),"")</f>
      </c>
      <c r="O198" t="s">
        <v>620</v>
      </c>
      <c r="P198" t="s">
        <v>618</v>
      </c>
      <c r="Q198" t="s">
        <v>618</v>
      </c>
    </row>
    <row r="199" spans="1:18" customHeight="1" ht="58">
      <c r="A199" s="16"/>
      <c r="B199" s="18" t="s">
        <v>585</v>
      </c>
      <c r="C199" s="17" t="s">
        <v>622</v>
      </c>
      <c r="D199" s="17"/>
      <c r="E199" s="17"/>
      <c r="F199" s="19" t="s">
        <v>136</v>
      </c>
      <c r="G199" s="20">
        <v>10.0</v>
      </c>
      <c r="H199" s="21"/>
      <c r="I199" s="21">
        <v>82.0</v>
      </c>
      <c r="J199" s="22">
        <v>24.0</v>
      </c>
      <c r="K199" s="50"/>
      <c r="L199" s="21" t="str">
        <f>IF(K199&gt;0,K199*I199,"")</f>
      </c>
      <c r="M199" s="52"/>
      <c r="N199" t="str">
        <f>IF(K199&gt;0,COUNTIF($K$7:K199,"&gt;0"),"")</f>
      </c>
      <c r="O199" t="s">
        <v>623</v>
      </c>
      <c r="P199" t="s">
        <v>621</v>
      </c>
      <c r="Q199" t="s">
        <v>621</v>
      </c>
    </row>
    <row r="200" spans="1:18" customHeight="1" ht="58">
      <c r="A200" s="16"/>
      <c r="B200" s="18" t="s">
        <v>585</v>
      </c>
      <c r="C200" s="17" t="s">
        <v>625</v>
      </c>
      <c r="D200" s="17"/>
      <c r="E200" s="17"/>
      <c r="F200" s="19" t="s">
        <v>136</v>
      </c>
      <c r="G200" s="20">
        <v>10.0</v>
      </c>
      <c r="H200" s="21"/>
      <c r="I200" s="21">
        <v>82.0</v>
      </c>
      <c r="J200" s="22">
        <v>400.0</v>
      </c>
      <c r="K200" s="50"/>
      <c r="L200" s="21" t="str">
        <f>IF(K200&gt;0,K200*I200,"")</f>
      </c>
      <c r="M200" s="52"/>
      <c r="N200" t="str">
        <f>IF(K200&gt;0,COUNTIF($K$7:K200,"&gt;0"),"")</f>
      </c>
      <c r="O200" t="s">
        <v>626</v>
      </c>
      <c r="P200" t="s">
        <v>624</v>
      </c>
      <c r="Q200" t="s">
        <v>624</v>
      </c>
    </row>
    <row r="201" spans="1:18" customHeight="1" ht="58">
      <c r="A201" s="16"/>
      <c r="B201" s="18" t="s">
        <v>585</v>
      </c>
      <c r="C201" s="17" t="s">
        <v>628</v>
      </c>
      <c r="D201" s="17"/>
      <c r="E201" s="17"/>
      <c r="F201" s="19" t="s">
        <v>136</v>
      </c>
      <c r="G201" s="20">
        <v>10.0</v>
      </c>
      <c r="H201" s="21"/>
      <c r="I201" s="21">
        <v>82.0</v>
      </c>
      <c r="J201" s="22">
        <v>307.0</v>
      </c>
      <c r="K201" s="50"/>
      <c r="L201" s="21" t="str">
        <f>IF(K201&gt;0,K201*I201,"")</f>
      </c>
      <c r="M201" s="52"/>
      <c r="N201" t="str">
        <f>IF(K201&gt;0,COUNTIF($K$7:K201,"&gt;0"),"")</f>
      </c>
      <c r="O201" t="s">
        <v>629</v>
      </c>
      <c r="P201" t="s">
        <v>627</v>
      </c>
      <c r="Q201" t="s">
        <v>627</v>
      </c>
    </row>
    <row r="202" spans="1:18" customHeight="1" ht="58">
      <c r="A202" s="16"/>
      <c r="B202" s="18" t="s">
        <v>631</v>
      </c>
      <c r="C202" s="17" t="s">
        <v>632</v>
      </c>
      <c r="D202" s="17" t="s">
        <v>633</v>
      </c>
      <c r="E202" s="17" t="s">
        <v>634</v>
      </c>
      <c r="F202" s="19"/>
      <c r="G202" s="20">
        <v>1.0</v>
      </c>
      <c r="H202" s="21"/>
      <c r="I202" s="21">
        <v>188.0</v>
      </c>
      <c r="J202" s="22">
        <v>7.0</v>
      </c>
      <c r="K202" s="50"/>
      <c r="L202" s="21" t="str">
        <f>IF(K202&gt;0,K202*I202,"")</f>
      </c>
      <c r="M202" s="52"/>
      <c r="N202" t="str">
        <f>IF(K202&gt;0,COUNTIF($K$7:K202,"&gt;0"),"")</f>
      </c>
      <c r="O202" t="s">
        <v>635</v>
      </c>
      <c r="P202" t="s">
        <v>630</v>
      </c>
      <c r="Q202" t="s">
        <v>630</v>
      </c>
    </row>
    <row r="203" spans="1:18" customHeight="1" ht="58">
      <c r="A203" s="16"/>
      <c r="B203" s="18" t="s">
        <v>637</v>
      </c>
      <c r="C203" s="17" t="s">
        <v>638</v>
      </c>
      <c r="D203" s="17" t="s">
        <v>639</v>
      </c>
      <c r="E203" s="17" t="s">
        <v>640</v>
      </c>
      <c r="F203" s="19"/>
      <c r="G203" s="20">
        <v>1.0</v>
      </c>
      <c r="H203" s="21"/>
      <c r="I203" s="21">
        <v>7.0</v>
      </c>
      <c r="J203" s="22">
        <v>64.0</v>
      </c>
      <c r="K203" s="50"/>
      <c r="L203" s="21" t="str">
        <f>IF(K203&gt;0,K203*I203,"")</f>
      </c>
      <c r="M203" s="52"/>
      <c r="N203" t="str">
        <f>IF(K203&gt;0,COUNTIF($K$7:K203,"&gt;0"),"")</f>
      </c>
      <c r="P203" t="s">
        <v>636</v>
      </c>
      <c r="Q203" t="s">
        <v>636</v>
      </c>
    </row>
    <row r="204" spans="1:18" customHeight="1" ht="58">
      <c r="A204" s="16"/>
      <c r="B204" s="18" t="s">
        <v>642</v>
      </c>
      <c r="C204" s="17" t="s">
        <v>643</v>
      </c>
      <c r="D204" s="17" t="s">
        <v>644</v>
      </c>
      <c r="E204" s="17"/>
      <c r="F204" s="19"/>
      <c r="G204" s="20">
        <v>1.0</v>
      </c>
      <c r="H204" s="21"/>
      <c r="I204" s="21">
        <v>46.0</v>
      </c>
      <c r="J204" s="22">
        <v>42.0</v>
      </c>
      <c r="K204" s="50"/>
      <c r="L204" s="21" t="str">
        <f>IF(K204&gt;0,K204*I204,"")</f>
      </c>
      <c r="M204" s="52"/>
      <c r="N204" t="str">
        <f>IF(K204&gt;0,COUNTIF($K$7:K204,"&gt;0"),"")</f>
      </c>
      <c r="O204" t="s">
        <v>645</v>
      </c>
      <c r="P204" t="s">
        <v>641</v>
      </c>
      <c r="Q204" t="s">
        <v>641</v>
      </c>
    </row>
    <row r="205" spans="1:18" customHeight="1" ht="58">
      <c r="A205" s="16"/>
      <c r="B205" s="18" t="s">
        <v>647</v>
      </c>
      <c r="C205" s="17" t="s">
        <v>648</v>
      </c>
      <c r="D205" s="17"/>
      <c r="E205" s="17"/>
      <c r="F205" s="19"/>
      <c r="G205" s="20">
        <v>1.0</v>
      </c>
      <c r="H205" s="21"/>
      <c r="I205" s="21">
        <v>54.0</v>
      </c>
      <c r="J205" s="22">
        <v>33.0</v>
      </c>
      <c r="K205" s="50"/>
      <c r="L205" s="21" t="str">
        <f>IF(K205&gt;0,K205*I205,"")</f>
      </c>
      <c r="M205" s="52"/>
      <c r="N205" t="str">
        <f>IF(K205&gt;0,COUNTIF($K$7:K205,"&gt;0"),"")</f>
      </c>
      <c r="O205" t="s">
        <v>649</v>
      </c>
      <c r="P205" t="s">
        <v>646</v>
      </c>
      <c r="Q205" t="s">
        <v>646</v>
      </c>
    </row>
    <row r="206" spans="1:18" customHeight="1" ht="58">
      <c r="A206" s="16"/>
      <c r="B206" s="18" t="s">
        <v>647</v>
      </c>
      <c r="C206" s="17" t="s">
        <v>651</v>
      </c>
      <c r="D206" s="17"/>
      <c r="E206" s="17"/>
      <c r="F206" s="19"/>
      <c r="G206" s="20">
        <v>1.0</v>
      </c>
      <c r="H206" s="21"/>
      <c r="I206" s="21">
        <v>79.0</v>
      </c>
      <c r="J206" s="22">
        <v>182.0</v>
      </c>
      <c r="K206" s="50"/>
      <c r="L206" s="21" t="str">
        <f>IF(K206&gt;0,K206*I206,"")</f>
      </c>
      <c r="M206" s="52"/>
      <c r="N206" t="str">
        <f>IF(K206&gt;0,COUNTIF($K$7:K206,"&gt;0"),"")</f>
      </c>
      <c r="O206" t="s">
        <v>652</v>
      </c>
      <c r="P206" t="s">
        <v>650</v>
      </c>
      <c r="Q206" t="s">
        <v>650</v>
      </c>
    </row>
    <row r="207" spans="1:18" customHeight="1" ht="58">
      <c r="A207" s="16"/>
      <c r="B207" s="18" t="s">
        <v>654</v>
      </c>
      <c r="C207" s="17" t="s">
        <v>655</v>
      </c>
      <c r="D207" s="17"/>
      <c r="E207" s="17"/>
      <c r="F207" s="19"/>
      <c r="G207" s="20">
        <v>1.0</v>
      </c>
      <c r="H207" s="21"/>
      <c r="I207" s="21">
        <v>108.0</v>
      </c>
      <c r="J207" s="22">
        <v>2.0</v>
      </c>
      <c r="K207" s="50"/>
      <c r="L207" s="21" t="str">
        <f>IF(K207&gt;0,K207*I207,"")</f>
      </c>
      <c r="M207" s="52"/>
      <c r="N207" t="str">
        <f>IF(K207&gt;0,COUNTIF($K$7:K207,"&gt;0"),"")</f>
      </c>
      <c r="O207" t="s">
        <v>656</v>
      </c>
      <c r="P207" t="s">
        <v>653</v>
      </c>
      <c r="Q207" t="s">
        <v>653</v>
      </c>
    </row>
    <row r="208" spans="1:18" customHeight="1" ht="58">
      <c r="A208" s="16"/>
      <c r="B208" s="18" t="s">
        <v>658</v>
      </c>
      <c r="C208" s="17" t="s">
        <v>659</v>
      </c>
      <c r="D208" s="17" t="s">
        <v>660</v>
      </c>
      <c r="E208" s="17" t="s">
        <v>661</v>
      </c>
      <c r="F208" s="19" t="s">
        <v>136</v>
      </c>
      <c r="G208" s="20">
        <v>10.0</v>
      </c>
      <c r="H208" s="21"/>
      <c r="I208" s="21">
        <v>66.0</v>
      </c>
      <c r="J208" s="22">
        <v>100.0</v>
      </c>
      <c r="K208" s="50"/>
      <c r="L208" s="21" t="str">
        <f>IF(K208&gt;0,K208*I208,"")</f>
      </c>
      <c r="M208" s="52"/>
      <c r="N208" t="str">
        <f>IF(K208&gt;0,COUNTIF($K$7:K208,"&gt;0"),"")</f>
      </c>
      <c r="O208" t="s">
        <v>662</v>
      </c>
      <c r="P208" t="s">
        <v>657</v>
      </c>
      <c r="Q208" t="s">
        <v>657</v>
      </c>
    </row>
    <row r="209" spans="1:18" customHeight="1" ht="58">
      <c r="A209" s="16"/>
      <c r="B209" s="18" t="s">
        <v>664</v>
      </c>
      <c r="C209" s="17" t="s">
        <v>659</v>
      </c>
      <c r="D209" s="17" t="s">
        <v>665</v>
      </c>
      <c r="E209" s="17" t="s">
        <v>661</v>
      </c>
      <c r="F209" s="19"/>
      <c r="G209" s="20">
        <v>1.0</v>
      </c>
      <c r="H209" s="21"/>
      <c r="I209" s="21">
        <v>66.0</v>
      </c>
      <c r="J209" s="22">
        <v>40.0</v>
      </c>
      <c r="K209" s="50"/>
      <c r="L209" s="21" t="str">
        <f>IF(K209&gt;0,K209*I209,"")</f>
      </c>
      <c r="M209" s="52"/>
      <c r="N209" t="str">
        <f>IF(K209&gt;0,COUNTIF($K$7:K209,"&gt;0"),"")</f>
      </c>
      <c r="O209" t="s">
        <v>666</v>
      </c>
      <c r="P209" t="s">
        <v>663</v>
      </c>
      <c r="Q209" t="s">
        <v>663</v>
      </c>
    </row>
    <row r="210" spans="1:18" customHeight="1" ht="24">
      <c r="A210" s="23" t="s">
        <v>667</v>
      </c>
      <c r="B210" s="24"/>
      <c r="C210" s="25"/>
      <c r="D210" s="25"/>
      <c r="E210" s="25"/>
      <c r="F210" s="26"/>
      <c r="G210" s="27"/>
      <c r="H210" s="28"/>
      <c r="I210" s="28"/>
      <c r="J210" s="29"/>
      <c r="K210" s="49"/>
      <c r="L210" s="28"/>
      <c r="M210" s="51"/>
      <c r="N210" t="str">
        <f>IF(K210&gt;0,COUNTIF($K$7:K210,"&gt;0"),"")</f>
      </c>
    </row>
    <row r="211" spans="1:18" customHeight="1" ht="58">
      <c r="A211" s="16"/>
      <c r="B211" s="18" t="s">
        <v>669</v>
      </c>
      <c r="C211" s="17" t="s">
        <v>670</v>
      </c>
      <c r="D211" s="17" t="s">
        <v>639</v>
      </c>
      <c r="E211" s="17" t="s">
        <v>671</v>
      </c>
      <c r="F211" s="19" t="s">
        <v>136</v>
      </c>
      <c r="G211" s="20">
        <v>1.0</v>
      </c>
      <c r="H211" s="21"/>
      <c r="I211" s="21">
        <v>231.0</v>
      </c>
      <c r="J211" s="22">
        <v>158.0</v>
      </c>
      <c r="K211" s="50"/>
      <c r="L211" s="21" t="str">
        <f>IF(K211&gt;0,K211*I211,"")</f>
      </c>
      <c r="M211" s="52"/>
      <c r="N211" t="str">
        <f>IF(K211&gt;0,COUNTIF($K$7:K211,"&gt;0"),"")</f>
      </c>
      <c r="P211" t="s">
        <v>668</v>
      </c>
      <c r="Q211" t="s">
        <v>668</v>
      </c>
      <c r="R211">
        <v>100.0</v>
      </c>
    </row>
    <row r="212" spans="1:18" customHeight="1" ht="58">
      <c r="A212" s="16"/>
      <c r="B212" s="18" t="s">
        <v>673</v>
      </c>
      <c r="C212" s="17" t="s">
        <v>670</v>
      </c>
      <c r="D212" s="17" t="s">
        <v>639</v>
      </c>
      <c r="E212" s="17" t="s">
        <v>674</v>
      </c>
      <c r="F212" s="19" t="s">
        <v>136</v>
      </c>
      <c r="G212" s="20">
        <v>1.0</v>
      </c>
      <c r="H212" s="21"/>
      <c r="I212" s="21">
        <v>231.0</v>
      </c>
      <c r="J212" s="22">
        <v>194.0</v>
      </c>
      <c r="K212" s="50"/>
      <c r="L212" s="21" t="str">
        <f>IF(K212&gt;0,K212*I212,"")</f>
      </c>
      <c r="M212" s="52"/>
      <c r="N212" t="str">
        <f>IF(K212&gt;0,COUNTIF($K$7:K212,"&gt;0"),"")</f>
      </c>
      <c r="P212" t="s">
        <v>672</v>
      </c>
      <c r="Q212" t="s">
        <v>672</v>
      </c>
      <c r="R212">
        <v>100.0</v>
      </c>
    </row>
    <row r="213" spans="1:18" customHeight="1" ht="58">
      <c r="A213" s="16"/>
      <c r="B213" s="18" t="s">
        <v>676</v>
      </c>
      <c r="C213" s="17" t="s">
        <v>670</v>
      </c>
      <c r="D213" s="17" t="s">
        <v>639</v>
      </c>
      <c r="E213" s="17" t="s">
        <v>677</v>
      </c>
      <c r="F213" s="19" t="s">
        <v>136</v>
      </c>
      <c r="G213" s="20">
        <v>1.0</v>
      </c>
      <c r="H213" s="21"/>
      <c r="I213" s="21">
        <v>289.0</v>
      </c>
      <c r="J213" s="22">
        <v>866.0</v>
      </c>
      <c r="K213" s="50"/>
      <c r="L213" s="21" t="str">
        <f>IF(K213&gt;0,K213*I213,"")</f>
      </c>
      <c r="M213" s="52"/>
      <c r="N213" t="str">
        <f>IF(K213&gt;0,COUNTIF($K$7:K213,"&gt;0"),"")</f>
      </c>
      <c r="P213" t="s">
        <v>675</v>
      </c>
      <c r="Q213" t="s">
        <v>675</v>
      </c>
      <c r="R213">
        <v>100.0</v>
      </c>
    </row>
    <row r="214" spans="1:18" customHeight="1" ht="58">
      <c r="A214" s="16"/>
      <c r="B214" s="18" t="s">
        <v>679</v>
      </c>
      <c r="C214" s="17" t="s">
        <v>680</v>
      </c>
      <c r="D214" s="17"/>
      <c r="E214" s="17"/>
      <c r="F214" s="19"/>
      <c r="G214" s="20">
        <v>1.0</v>
      </c>
      <c r="H214" s="21"/>
      <c r="I214" s="21">
        <v>149.0</v>
      </c>
      <c r="J214" s="22">
        <v>1278.0</v>
      </c>
      <c r="K214" s="50"/>
      <c r="L214" s="21" t="str">
        <f>IF(K214&gt;0,K214*I214,"")</f>
      </c>
      <c r="M214" s="52"/>
      <c r="N214" t="str">
        <f>IF(K214&gt;0,COUNTIF($K$7:K214,"&gt;0"),"")</f>
      </c>
      <c r="O214" t="s">
        <v>681</v>
      </c>
      <c r="P214" t="s">
        <v>678</v>
      </c>
      <c r="Q214" t="s">
        <v>678</v>
      </c>
    </row>
    <row r="215" spans="1:18" customHeight="1" ht="58">
      <c r="A215" s="16"/>
      <c r="B215" s="18" t="s">
        <v>679</v>
      </c>
      <c r="C215" s="17" t="s">
        <v>683</v>
      </c>
      <c r="D215" s="17"/>
      <c r="E215" s="17"/>
      <c r="F215" s="19"/>
      <c r="G215" s="20">
        <v>1.0</v>
      </c>
      <c r="H215" s="21"/>
      <c r="I215" s="21">
        <v>149.0</v>
      </c>
      <c r="J215" s="22">
        <v>1339.0</v>
      </c>
      <c r="K215" s="50"/>
      <c r="L215" s="21" t="str">
        <f>IF(K215&gt;0,K215*I215,"")</f>
      </c>
      <c r="M215" s="52"/>
      <c r="N215" t="str">
        <f>IF(K215&gt;0,COUNTIF($K$7:K215,"&gt;0"),"")</f>
      </c>
      <c r="O215" t="s">
        <v>684</v>
      </c>
      <c r="P215" t="s">
        <v>682</v>
      </c>
      <c r="Q215" t="s">
        <v>682</v>
      </c>
    </row>
    <row r="216" spans="1:18" customHeight="1" ht="58">
      <c r="A216" s="16"/>
      <c r="B216" s="18" t="s">
        <v>679</v>
      </c>
      <c r="C216" s="17" t="s">
        <v>686</v>
      </c>
      <c r="D216" s="17"/>
      <c r="E216" s="17"/>
      <c r="F216" s="19"/>
      <c r="G216" s="20">
        <v>1.0</v>
      </c>
      <c r="H216" s="21"/>
      <c r="I216" s="21">
        <v>149.0</v>
      </c>
      <c r="J216" s="22">
        <v>1508.0</v>
      </c>
      <c r="K216" s="50"/>
      <c r="L216" s="21" t="str">
        <f>IF(K216&gt;0,K216*I216,"")</f>
      </c>
      <c r="M216" s="52"/>
      <c r="N216" t="str">
        <f>IF(K216&gt;0,COUNTIF($K$7:K216,"&gt;0"),"")</f>
      </c>
      <c r="O216" t="s">
        <v>687</v>
      </c>
      <c r="P216" t="s">
        <v>685</v>
      </c>
      <c r="Q216" t="s">
        <v>685</v>
      </c>
    </row>
    <row r="217" spans="1:18" customHeight="1" ht="58">
      <c r="A217" s="16"/>
      <c r="B217" s="18" t="s">
        <v>679</v>
      </c>
      <c r="C217" s="17" t="s">
        <v>689</v>
      </c>
      <c r="D217" s="17"/>
      <c r="E217" s="17"/>
      <c r="F217" s="19"/>
      <c r="G217" s="20">
        <v>1.0</v>
      </c>
      <c r="H217" s="21"/>
      <c r="I217" s="21">
        <v>149.0</v>
      </c>
      <c r="J217" s="22">
        <v>1977.0</v>
      </c>
      <c r="K217" s="50"/>
      <c r="L217" s="21" t="str">
        <f>IF(K217&gt;0,K217*I217,"")</f>
      </c>
      <c r="M217" s="52"/>
      <c r="N217" t="str">
        <f>IF(K217&gt;0,COUNTIF($K$7:K217,"&gt;0"),"")</f>
      </c>
      <c r="O217" t="s">
        <v>690</v>
      </c>
      <c r="P217" t="s">
        <v>688</v>
      </c>
      <c r="Q217" t="s">
        <v>688</v>
      </c>
    </row>
    <row r="218" spans="1:18" customHeight="1" ht="58">
      <c r="A218" s="16"/>
      <c r="B218" s="18" t="s">
        <v>679</v>
      </c>
      <c r="C218" s="17" t="s">
        <v>692</v>
      </c>
      <c r="D218" s="17"/>
      <c r="E218" s="17"/>
      <c r="F218" s="19"/>
      <c r="G218" s="20">
        <v>1.0</v>
      </c>
      <c r="H218" s="21"/>
      <c r="I218" s="21">
        <v>149.0</v>
      </c>
      <c r="J218" s="22">
        <v>1491.0</v>
      </c>
      <c r="K218" s="50"/>
      <c r="L218" s="21" t="str">
        <f>IF(K218&gt;0,K218*I218,"")</f>
      </c>
      <c r="M218" s="52"/>
      <c r="N218" t="str">
        <f>IF(K218&gt;0,COUNTIF($K$7:K218,"&gt;0"),"")</f>
      </c>
      <c r="O218" t="s">
        <v>693</v>
      </c>
      <c r="P218" t="s">
        <v>691</v>
      </c>
      <c r="Q218" t="s">
        <v>691</v>
      </c>
    </row>
    <row r="219" spans="1:18" customHeight="1" ht="58">
      <c r="A219" s="16"/>
      <c r="B219" s="18" t="s">
        <v>679</v>
      </c>
      <c r="C219" s="17" t="s">
        <v>695</v>
      </c>
      <c r="D219" s="17"/>
      <c r="E219" s="17"/>
      <c r="F219" s="19"/>
      <c r="G219" s="20">
        <v>1.0</v>
      </c>
      <c r="H219" s="21"/>
      <c r="I219" s="21">
        <v>149.0</v>
      </c>
      <c r="J219" s="22">
        <v>1464.0</v>
      </c>
      <c r="K219" s="50"/>
      <c r="L219" s="21" t="str">
        <f>IF(K219&gt;0,K219*I219,"")</f>
      </c>
      <c r="M219" s="52"/>
      <c r="N219" t="str">
        <f>IF(K219&gt;0,COUNTIF($K$7:K219,"&gt;0"),"")</f>
      </c>
      <c r="O219" t="s">
        <v>696</v>
      </c>
      <c r="P219" t="s">
        <v>694</v>
      </c>
      <c r="Q219" t="s">
        <v>694</v>
      </c>
    </row>
    <row r="220" spans="1:18" customHeight="1" ht="58">
      <c r="A220" s="16"/>
      <c r="B220" s="18" t="s">
        <v>679</v>
      </c>
      <c r="C220" s="17" t="s">
        <v>698</v>
      </c>
      <c r="D220" s="17"/>
      <c r="E220" s="17"/>
      <c r="F220" s="19"/>
      <c r="G220" s="20">
        <v>1.0</v>
      </c>
      <c r="H220" s="21"/>
      <c r="I220" s="21">
        <v>149.0</v>
      </c>
      <c r="J220" s="22">
        <v>1159.0</v>
      </c>
      <c r="K220" s="50"/>
      <c r="L220" s="21" t="str">
        <f>IF(K220&gt;0,K220*I220,"")</f>
      </c>
      <c r="M220" s="52"/>
      <c r="N220" t="str">
        <f>IF(K220&gt;0,COUNTIF($K$7:K220,"&gt;0"),"")</f>
      </c>
      <c r="O220" t="s">
        <v>699</v>
      </c>
      <c r="P220" t="s">
        <v>697</v>
      </c>
      <c r="Q220" t="s">
        <v>697</v>
      </c>
    </row>
    <row r="221" spans="1:18" customHeight="1" ht="58">
      <c r="A221" s="16"/>
      <c r="B221" s="18" t="s">
        <v>679</v>
      </c>
      <c r="C221" s="17" t="s">
        <v>701</v>
      </c>
      <c r="D221" s="17"/>
      <c r="E221" s="17"/>
      <c r="F221" s="19"/>
      <c r="G221" s="20">
        <v>1.0</v>
      </c>
      <c r="H221" s="21"/>
      <c r="I221" s="21">
        <v>149.0</v>
      </c>
      <c r="J221" s="22">
        <v>587.0</v>
      </c>
      <c r="K221" s="50"/>
      <c r="L221" s="21" t="str">
        <f>IF(K221&gt;0,K221*I221,"")</f>
      </c>
      <c r="M221" s="52"/>
      <c r="N221" t="str">
        <f>IF(K221&gt;0,COUNTIF($K$7:K221,"&gt;0"),"")</f>
      </c>
      <c r="O221" t="s">
        <v>702</v>
      </c>
      <c r="P221" t="s">
        <v>700</v>
      </c>
      <c r="Q221" t="s">
        <v>700</v>
      </c>
    </row>
    <row r="222" spans="1:18" customHeight="1" ht="58">
      <c r="A222" s="16"/>
      <c r="B222" s="18" t="s">
        <v>704</v>
      </c>
      <c r="C222" s="17" t="s">
        <v>705</v>
      </c>
      <c r="D222" s="17"/>
      <c r="E222" s="17"/>
      <c r="F222" s="19"/>
      <c r="G222" s="20">
        <v>1.0</v>
      </c>
      <c r="H222" s="21"/>
      <c r="I222" s="21">
        <v>80.0</v>
      </c>
      <c r="J222" s="22">
        <v>1431.0</v>
      </c>
      <c r="K222" s="50"/>
      <c r="L222" s="21" t="str">
        <f>IF(K222&gt;0,K222*I222,"")</f>
      </c>
      <c r="M222" s="52"/>
      <c r="N222" t="str">
        <f>IF(K222&gt;0,COUNTIF($K$7:K222,"&gt;0"),"")</f>
      </c>
      <c r="O222" t="s">
        <v>706</v>
      </c>
      <c r="P222" t="s">
        <v>703</v>
      </c>
      <c r="Q222" t="s">
        <v>703</v>
      </c>
    </row>
    <row r="223" spans="1:18" customHeight="1" ht="58">
      <c r="A223" s="16"/>
      <c r="B223" s="18" t="s">
        <v>704</v>
      </c>
      <c r="C223" s="17" t="s">
        <v>708</v>
      </c>
      <c r="D223" s="17"/>
      <c r="E223" s="17"/>
      <c r="F223" s="19"/>
      <c r="G223" s="20">
        <v>1.0</v>
      </c>
      <c r="H223" s="21"/>
      <c r="I223" s="21">
        <v>80.0</v>
      </c>
      <c r="J223" s="22">
        <v>1795.0</v>
      </c>
      <c r="K223" s="50"/>
      <c r="L223" s="21" t="str">
        <f>IF(K223&gt;0,K223*I223,"")</f>
      </c>
      <c r="M223" s="52"/>
      <c r="N223" t="str">
        <f>IF(K223&gt;0,COUNTIF($K$7:K223,"&gt;0"),"")</f>
      </c>
      <c r="O223" t="s">
        <v>709</v>
      </c>
      <c r="P223" t="s">
        <v>707</v>
      </c>
      <c r="Q223" t="s">
        <v>707</v>
      </c>
    </row>
    <row r="224" spans="1:18" customHeight="1" ht="58">
      <c r="A224" s="16"/>
      <c r="B224" s="18" t="s">
        <v>704</v>
      </c>
      <c r="C224" s="17" t="s">
        <v>711</v>
      </c>
      <c r="D224" s="17"/>
      <c r="E224" s="17"/>
      <c r="F224" s="19"/>
      <c r="G224" s="20">
        <v>1.0</v>
      </c>
      <c r="H224" s="21"/>
      <c r="I224" s="21">
        <v>80.0</v>
      </c>
      <c r="J224" s="22">
        <v>1957.0</v>
      </c>
      <c r="K224" s="50"/>
      <c r="L224" s="21" t="str">
        <f>IF(K224&gt;0,K224*I224,"")</f>
      </c>
      <c r="M224" s="52"/>
      <c r="N224" t="str">
        <f>IF(K224&gt;0,COUNTIF($K$7:K224,"&gt;0"),"")</f>
      </c>
      <c r="O224" t="s">
        <v>712</v>
      </c>
      <c r="P224" t="s">
        <v>710</v>
      </c>
      <c r="Q224" t="s">
        <v>710</v>
      </c>
    </row>
    <row r="225" spans="1:18" customHeight="1" ht="58">
      <c r="A225" s="16"/>
      <c r="B225" s="18" t="s">
        <v>704</v>
      </c>
      <c r="C225" s="17" t="s">
        <v>714</v>
      </c>
      <c r="D225" s="17"/>
      <c r="E225" s="17"/>
      <c r="F225" s="19"/>
      <c r="G225" s="20">
        <v>1.0</v>
      </c>
      <c r="H225" s="21"/>
      <c r="I225" s="21">
        <v>80.0</v>
      </c>
      <c r="J225" s="22">
        <v>2012.0</v>
      </c>
      <c r="K225" s="50"/>
      <c r="L225" s="21" t="str">
        <f>IF(K225&gt;0,K225*I225,"")</f>
      </c>
      <c r="M225" s="52"/>
      <c r="N225" t="str">
        <f>IF(K225&gt;0,COUNTIF($K$7:K225,"&gt;0"),"")</f>
      </c>
      <c r="O225" t="s">
        <v>715</v>
      </c>
      <c r="P225" t="s">
        <v>713</v>
      </c>
      <c r="Q225" t="s">
        <v>713</v>
      </c>
    </row>
    <row r="226" spans="1:18" customHeight="1" ht="58">
      <c r="A226" s="16"/>
      <c r="B226" s="18" t="s">
        <v>704</v>
      </c>
      <c r="C226" s="17" t="s">
        <v>717</v>
      </c>
      <c r="D226" s="17"/>
      <c r="E226" s="17"/>
      <c r="F226" s="19"/>
      <c r="G226" s="20">
        <v>1.0</v>
      </c>
      <c r="H226" s="21"/>
      <c r="I226" s="21">
        <v>80.0</v>
      </c>
      <c r="J226" s="22">
        <v>1600.0</v>
      </c>
      <c r="K226" s="50"/>
      <c r="L226" s="21" t="str">
        <f>IF(K226&gt;0,K226*I226,"")</f>
      </c>
      <c r="M226" s="52"/>
      <c r="N226" t="str">
        <f>IF(K226&gt;0,COUNTIF($K$7:K226,"&gt;0"),"")</f>
      </c>
      <c r="O226" t="s">
        <v>718</v>
      </c>
      <c r="P226" t="s">
        <v>716</v>
      </c>
      <c r="Q226" t="s">
        <v>716</v>
      </c>
    </row>
    <row r="227" spans="1:18" customHeight="1" ht="58">
      <c r="A227" s="16"/>
      <c r="B227" s="18" t="s">
        <v>704</v>
      </c>
      <c r="C227" s="17" t="s">
        <v>720</v>
      </c>
      <c r="D227" s="17"/>
      <c r="E227" s="17"/>
      <c r="F227" s="19"/>
      <c r="G227" s="20">
        <v>1.0</v>
      </c>
      <c r="H227" s="21"/>
      <c r="I227" s="21">
        <v>80.0</v>
      </c>
      <c r="J227" s="22">
        <v>223.0</v>
      </c>
      <c r="K227" s="50"/>
      <c r="L227" s="21" t="str">
        <f>IF(K227&gt;0,K227*I227,"")</f>
      </c>
      <c r="M227" s="52"/>
      <c r="N227" t="str">
        <f>IF(K227&gt;0,COUNTIF($K$7:K227,"&gt;0"),"")</f>
      </c>
      <c r="O227" t="s">
        <v>721</v>
      </c>
      <c r="P227" t="s">
        <v>719</v>
      </c>
      <c r="Q227" t="s">
        <v>719</v>
      </c>
    </row>
    <row r="228" spans="1:18" customHeight="1" ht="24">
      <c r="A228" s="23" t="s">
        <v>722</v>
      </c>
      <c r="B228" s="24"/>
      <c r="C228" s="25"/>
      <c r="D228" s="25"/>
      <c r="E228" s="25"/>
      <c r="F228" s="26"/>
      <c r="G228" s="27"/>
      <c r="H228" s="28"/>
      <c r="I228" s="28"/>
      <c r="J228" s="29"/>
      <c r="K228" s="49"/>
      <c r="L228" s="28"/>
      <c r="M228" s="51"/>
      <c r="N228" t="str">
        <f>IF(K228&gt;0,COUNTIF($K$7:K228,"&gt;0"),"")</f>
      </c>
    </row>
    <row r="229" spans="1:18" customHeight="1" ht="58">
      <c r="A229" s="16"/>
      <c r="B229" s="18" t="s">
        <v>724</v>
      </c>
      <c r="C229" s="17" t="s">
        <v>725</v>
      </c>
      <c r="D229" s="17"/>
      <c r="E229" s="17"/>
      <c r="F229" s="19"/>
      <c r="G229" s="20">
        <v>1.0</v>
      </c>
      <c r="H229" s="21"/>
      <c r="I229" s="21">
        <v>72.0</v>
      </c>
      <c r="J229" s="22">
        <v>14.0</v>
      </c>
      <c r="K229" s="50"/>
      <c r="L229" s="21" t="str">
        <f>IF(K229&gt;0,K229*I229,"")</f>
      </c>
      <c r="M229" s="52"/>
      <c r="N229" t="str">
        <f>IF(K229&gt;0,COUNTIF($K$7:K229,"&gt;0"),"")</f>
      </c>
      <c r="O229" t="s">
        <v>726</v>
      </c>
      <c r="P229" t="s">
        <v>723</v>
      </c>
      <c r="Q229" t="s">
        <v>723</v>
      </c>
    </row>
    <row r="230" spans="1:18" customHeight="1" ht="58">
      <c r="A230" s="16"/>
      <c r="B230" s="18" t="s">
        <v>724</v>
      </c>
      <c r="C230" s="17" t="s">
        <v>728</v>
      </c>
      <c r="D230" s="17"/>
      <c r="E230" s="17"/>
      <c r="F230" s="19"/>
      <c r="G230" s="20">
        <v>1.0</v>
      </c>
      <c r="H230" s="21"/>
      <c r="I230" s="21">
        <v>72.0</v>
      </c>
      <c r="J230" s="22">
        <v>16.0</v>
      </c>
      <c r="K230" s="50"/>
      <c r="L230" s="21" t="str">
        <f>IF(K230&gt;0,K230*I230,"")</f>
      </c>
      <c r="M230" s="52"/>
      <c r="N230" t="str">
        <f>IF(K230&gt;0,COUNTIF($K$7:K230,"&gt;0"),"")</f>
      </c>
      <c r="O230" t="s">
        <v>729</v>
      </c>
      <c r="P230" t="s">
        <v>727</v>
      </c>
      <c r="Q230" t="s">
        <v>727</v>
      </c>
    </row>
    <row r="231" spans="1:18" customHeight="1" ht="58">
      <c r="A231" s="16"/>
      <c r="B231" s="18" t="s">
        <v>731</v>
      </c>
      <c r="C231" s="17" t="s">
        <v>732</v>
      </c>
      <c r="D231" s="17" t="s">
        <v>477</v>
      </c>
      <c r="E231" s="17" t="s">
        <v>733</v>
      </c>
      <c r="F231" s="19"/>
      <c r="G231" s="20">
        <v>1.0</v>
      </c>
      <c r="H231" s="21"/>
      <c r="I231" s="21">
        <v>55.0</v>
      </c>
      <c r="J231" s="22">
        <v>62.0</v>
      </c>
      <c r="K231" s="50"/>
      <c r="L231" s="21" t="str">
        <f>IF(K231&gt;0,K231*I231,"")</f>
      </c>
      <c r="M231" s="52"/>
      <c r="N231" t="str">
        <f>IF(K231&gt;0,COUNTIF($K$7:K231,"&gt;0"),"")</f>
      </c>
      <c r="O231" t="s">
        <v>734</v>
      </c>
      <c r="P231" t="s">
        <v>730</v>
      </c>
      <c r="Q231" t="s">
        <v>730</v>
      </c>
    </row>
    <row r="232" spans="1:18" customHeight="1" ht="58">
      <c r="A232" s="16"/>
      <c r="B232" s="18" t="s">
        <v>736</v>
      </c>
      <c r="C232" s="17" t="s">
        <v>442</v>
      </c>
      <c r="D232" s="17" t="s">
        <v>477</v>
      </c>
      <c r="E232" s="17" t="s">
        <v>737</v>
      </c>
      <c r="F232" s="19"/>
      <c r="G232" s="20">
        <v>1.0</v>
      </c>
      <c r="H232" s="21"/>
      <c r="I232" s="21">
        <v>51.0</v>
      </c>
      <c r="J232" s="22">
        <v>5.0</v>
      </c>
      <c r="K232" s="50"/>
      <c r="L232" s="21" t="str">
        <f>IF(K232&gt;0,K232*I232,"")</f>
      </c>
      <c r="M232" s="52"/>
      <c r="N232" t="str">
        <f>IF(K232&gt;0,COUNTIF($K$7:K232,"&gt;0"),"")</f>
      </c>
      <c r="O232" t="s">
        <v>738</v>
      </c>
      <c r="P232" t="s">
        <v>735</v>
      </c>
      <c r="Q232" t="s">
        <v>735</v>
      </c>
    </row>
    <row r="233" spans="1:18" customHeight="1" ht="58">
      <c r="A233" s="16"/>
      <c r="B233" s="18" t="s">
        <v>740</v>
      </c>
      <c r="C233" s="17" t="s">
        <v>442</v>
      </c>
      <c r="D233" s="17" t="s">
        <v>477</v>
      </c>
      <c r="E233" s="17" t="s">
        <v>741</v>
      </c>
      <c r="F233" s="19"/>
      <c r="G233" s="20">
        <v>1.0</v>
      </c>
      <c r="H233" s="21"/>
      <c r="I233" s="21">
        <v>51.0</v>
      </c>
      <c r="J233" s="22">
        <v>3.0</v>
      </c>
      <c r="K233" s="50"/>
      <c r="L233" s="21" t="str">
        <f>IF(K233&gt;0,K233*I233,"")</f>
      </c>
      <c r="M233" s="52"/>
      <c r="N233" t="str">
        <f>IF(K233&gt;0,COUNTIF($K$7:K233,"&gt;0"),"")</f>
      </c>
      <c r="O233" t="s">
        <v>742</v>
      </c>
      <c r="P233" t="s">
        <v>739</v>
      </c>
      <c r="Q233" t="s">
        <v>739</v>
      </c>
    </row>
    <row r="234" spans="1:18" customHeight="1" ht="58">
      <c r="A234" s="16"/>
      <c r="B234" s="18" t="s">
        <v>744</v>
      </c>
      <c r="C234" s="17" t="s">
        <v>442</v>
      </c>
      <c r="D234" s="17" t="s">
        <v>477</v>
      </c>
      <c r="E234" s="17" t="s">
        <v>745</v>
      </c>
      <c r="F234" s="19"/>
      <c r="G234" s="20">
        <v>1.0</v>
      </c>
      <c r="H234" s="21"/>
      <c r="I234" s="21">
        <v>66.0</v>
      </c>
      <c r="J234" s="22">
        <v>4.0</v>
      </c>
      <c r="K234" s="50"/>
      <c r="L234" s="21" t="str">
        <f>IF(K234&gt;0,K234*I234,"")</f>
      </c>
      <c r="M234" s="52"/>
      <c r="N234" t="str">
        <f>IF(K234&gt;0,COUNTIF($K$7:K234,"&gt;0"),"")</f>
      </c>
      <c r="O234" t="s">
        <v>746</v>
      </c>
      <c r="P234" t="s">
        <v>743</v>
      </c>
      <c r="Q234" t="s">
        <v>743</v>
      </c>
    </row>
    <row r="235" spans="1:18" customHeight="1" ht="58">
      <c r="A235" s="16"/>
      <c r="B235" s="18" t="s">
        <v>748</v>
      </c>
      <c r="C235" s="17" t="s">
        <v>442</v>
      </c>
      <c r="D235" s="17" t="s">
        <v>477</v>
      </c>
      <c r="E235" s="17" t="s">
        <v>749</v>
      </c>
      <c r="F235" s="19"/>
      <c r="G235" s="20">
        <v>1.0</v>
      </c>
      <c r="H235" s="21"/>
      <c r="I235" s="21">
        <v>66.0</v>
      </c>
      <c r="J235" s="22">
        <v>74.0</v>
      </c>
      <c r="K235" s="50"/>
      <c r="L235" s="21" t="str">
        <f>IF(K235&gt;0,K235*I235,"")</f>
      </c>
      <c r="M235" s="52"/>
      <c r="N235" t="str">
        <f>IF(K235&gt;0,COUNTIF($K$7:K235,"&gt;0"),"")</f>
      </c>
      <c r="O235" t="s">
        <v>750</v>
      </c>
      <c r="P235" t="s">
        <v>747</v>
      </c>
      <c r="Q235" t="s">
        <v>747</v>
      </c>
    </row>
    <row r="236" spans="1:18" customHeight="1" ht="58">
      <c r="A236" s="16"/>
      <c r="B236" s="18" t="s">
        <v>752</v>
      </c>
      <c r="C236" s="17" t="s">
        <v>442</v>
      </c>
      <c r="D236" s="17" t="s">
        <v>477</v>
      </c>
      <c r="E236" s="17" t="s">
        <v>753</v>
      </c>
      <c r="F236" s="19"/>
      <c r="G236" s="20">
        <v>1.0</v>
      </c>
      <c r="H236" s="21"/>
      <c r="I236" s="21">
        <v>47.0</v>
      </c>
      <c r="J236" s="22">
        <v>40.0</v>
      </c>
      <c r="K236" s="50"/>
      <c r="L236" s="21" t="str">
        <f>IF(K236&gt;0,K236*I236,"")</f>
      </c>
      <c r="M236" s="52"/>
      <c r="N236" t="str">
        <f>IF(K236&gt;0,COUNTIF($K$7:K236,"&gt;0"),"")</f>
      </c>
      <c r="O236" t="s">
        <v>754</v>
      </c>
      <c r="P236" t="s">
        <v>751</v>
      </c>
      <c r="Q236" t="s">
        <v>751</v>
      </c>
    </row>
    <row r="237" spans="1:18" customHeight="1" ht="58">
      <c r="A237" s="16"/>
      <c r="B237" s="18" t="s">
        <v>756</v>
      </c>
      <c r="C237" s="17" t="s">
        <v>659</v>
      </c>
      <c r="D237" s="17" t="s">
        <v>477</v>
      </c>
      <c r="E237" s="17" t="s">
        <v>757</v>
      </c>
      <c r="F237" s="19"/>
      <c r="G237" s="20">
        <v>1.0</v>
      </c>
      <c r="H237" s="21"/>
      <c r="I237" s="21">
        <v>44.0</v>
      </c>
      <c r="J237" s="22">
        <v>99.0</v>
      </c>
      <c r="K237" s="50"/>
      <c r="L237" s="21" t="str">
        <f>IF(K237&gt;0,K237*I237,"")</f>
      </c>
      <c r="M237" s="52"/>
      <c r="N237" t="str">
        <f>IF(K237&gt;0,COUNTIF($K$7:K237,"&gt;0"),"")</f>
      </c>
      <c r="O237" t="s">
        <v>758</v>
      </c>
      <c r="P237" t="s">
        <v>755</v>
      </c>
      <c r="Q237" t="s">
        <v>755</v>
      </c>
    </row>
    <row r="238" spans="1:18" customHeight="1" ht="58">
      <c r="A238" s="16"/>
      <c r="B238" s="18" t="s">
        <v>760</v>
      </c>
      <c r="C238" s="17" t="s">
        <v>659</v>
      </c>
      <c r="D238" s="17" t="s">
        <v>477</v>
      </c>
      <c r="E238" s="17" t="s">
        <v>761</v>
      </c>
      <c r="F238" s="19"/>
      <c r="G238" s="20">
        <v>1.0</v>
      </c>
      <c r="H238" s="21"/>
      <c r="I238" s="21">
        <v>47.0</v>
      </c>
      <c r="J238" s="22">
        <v>251.0</v>
      </c>
      <c r="K238" s="50"/>
      <c r="L238" s="21" t="str">
        <f>IF(K238&gt;0,K238*I238,"")</f>
      </c>
      <c r="M238" s="52"/>
      <c r="N238" t="str">
        <f>IF(K238&gt;0,COUNTIF($K$7:K238,"&gt;0"),"")</f>
      </c>
      <c r="O238" t="s">
        <v>762</v>
      </c>
      <c r="P238" t="s">
        <v>759</v>
      </c>
      <c r="Q238" t="s">
        <v>759</v>
      </c>
    </row>
    <row r="239" spans="1:18" customHeight="1" ht="58">
      <c r="A239" s="16"/>
      <c r="B239" s="18" t="s">
        <v>764</v>
      </c>
      <c r="C239" s="17" t="s">
        <v>659</v>
      </c>
      <c r="D239" s="17" t="s">
        <v>38</v>
      </c>
      <c r="E239" s="17" t="s">
        <v>765</v>
      </c>
      <c r="F239" s="19" t="s">
        <v>136</v>
      </c>
      <c r="G239" s="20">
        <v>10.0</v>
      </c>
      <c r="H239" s="21"/>
      <c r="I239" s="21">
        <v>65.0</v>
      </c>
      <c r="J239" s="22">
        <v>169.0</v>
      </c>
      <c r="K239" s="50"/>
      <c r="L239" s="21" t="str">
        <f>IF(K239&gt;0,K239*I239,"")</f>
      </c>
      <c r="M239" s="52"/>
      <c r="N239" t="str">
        <f>IF(K239&gt;0,COUNTIF($K$7:K239,"&gt;0"),"")</f>
      </c>
      <c r="O239" t="s">
        <v>766</v>
      </c>
      <c r="P239" t="s">
        <v>763</v>
      </c>
      <c r="Q239" t="s">
        <v>763</v>
      </c>
    </row>
    <row r="240" spans="1:18" customHeight="1" ht="58">
      <c r="A240" s="16"/>
      <c r="B240" s="18" t="s">
        <v>764</v>
      </c>
      <c r="C240" s="17" t="s">
        <v>659</v>
      </c>
      <c r="D240" s="17" t="s">
        <v>153</v>
      </c>
      <c r="E240" s="17" t="s">
        <v>765</v>
      </c>
      <c r="F240" s="19" t="s">
        <v>136</v>
      </c>
      <c r="G240" s="20">
        <v>10.0</v>
      </c>
      <c r="H240" s="21"/>
      <c r="I240" s="21">
        <v>95.0</v>
      </c>
      <c r="J240" s="22">
        <v>110.0</v>
      </c>
      <c r="K240" s="50"/>
      <c r="L240" s="21" t="str">
        <f>IF(K240&gt;0,K240*I240,"")</f>
      </c>
      <c r="M240" s="52"/>
      <c r="N240" t="str">
        <f>IF(K240&gt;0,COUNTIF($K$7:K240,"&gt;0"),"")</f>
      </c>
      <c r="O240" t="s">
        <v>768</v>
      </c>
      <c r="P240" t="s">
        <v>767</v>
      </c>
      <c r="Q240" t="s">
        <v>767</v>
      </c>
    </row>
    <row r="241" spans="1:18" customHeight="1" ht="58">
      <c r="A241" s="16"/>
      <c r="B241" s="18" t="s">
        <v>770</v>
      </c>
      <c r="C241" s="17" t="s">
        <v>659</v>
      </c>
      <c r="D241" s="17" t="s">
        <v>665</v>
      </c>
      <c r="E241" s="17" t="s">
        <v>771</v>
      </c>
      <c r="F241" s="19" t="s">
        <v>136</v>
      </c>
      <c r="G241" s="20">
        <v>10.0</v>
      </c>
      <c r="H241" s="21"/>
      <c r="I241" s="21">
        <v>68.0</v>
      </c>
      <c r="J241" s="22">
        <v>45.0</v>
      </c>
      <c r="K241" s="50"/>
      <c r="L241" s="21" t="str">
        <f>IF(K241&gt;0,K241*I241,"")</f>
      </c>
      <c r="M241" s="52"/>
      <c r="N241" t="str">
        <f>IF(K241&gt;0,COUNTIF($K$7:K241,"&gt;0"),"")</f>
      </c>
      <c r="O241" t="s">
        <v>772</v>
      </c>
      <c r="P241" t="s">
        <v>769</v>
      </c>
      <c r="Q241" t="s">
        <v>769</v>
      </c>
    </row>
    <row r="242" spans="1:18" customHeight="1" ht="58">
      <c r="A242" s="16"/>
      <c r="B242" s="18" t="s">
        <v>774</v>
      </c>
      <c r="C242" s="17" t="s">
        <v>659</v>
      </c>
      <c r="D242" s="17" t="s">
        <v>38</v>
      </c>
      <c r="E242" s="17" t="s">
        <v>775</v>
      </c>
      <c r="F242" s="19" t="s">
        <v>136</v>
      </c>
      <c r="G242" s="20">
        <v>10.0</v>
      </c>
      <c r="H242" s="21"/>
      <c r="I242" s="21">
        <v>81.0</v>
      </c>
      <c r="J242" s="22">
        <v>96.0</v>
      </c>
      <c r="K242" s="50"/>
      <c r="L242" s="21" t="str">
        <f>IF(K242&gt;0,K242*I242,"")</f>
      </c>
      <c r="M242" s="52"/>
      <c r="N242" t="str">
        <f>IF(K242&gt;0,COUNTIF($K$7:K242,"&gt;0"),"")</f>
      </c>
      <c r="O242" t="s">
        <v>776</v>
      </c>
      <c r="P242" t="s">
        <v>773</v>
      </c>
      <c r="Q242" t="s">
        <v>773</v>
      </c>
    </row>
    <row r="243" spans="1:18" customHeight="1" ht="58">
      <c r="A243" s="16"/>
      <c r="B243" s="18" t="s">
        <v>778</v>
      </c>
      <c r="C243" s="17" t="s">
        <v>659</v>
      </c>
      <c r="D243" s="17" t="s">
        <v>38</v>
      </c>
      <c r="E243" s="17" t="s">
        <v>779</v>
      </c>
      <c r="F243" s="19"/>
      <c r="G243" s="20">
        <v>1.0</v>
      </c>
      <c r="H243" s="21"/>
      <c r="I243" s="21">
        <v>109.0</v>
      </c>
      <c r="J243" s="22">
        <v>57.0</v>
      </c>
      <c r="K243" s="50"/>
      <c r="L243" s="21" t="str">
        <f>IF(K243&gt;0,K243*I243,"")</f>
      </c>
      <c r="M243" s="52"/>
      <c r="N243" t="str">
        <f>IF(K243&gt;0,COUNTIF($K$7:K243,"&gt;0"),"")</f>
      </c>
      <c r="O243" t="s">
        <v>780</v>
      </c>
      <c r="P243" t="s">
        <v>777</v>
      </c>
      <c r="Q243" t="s">
        <v>777</v>
      </c>
    </row>
    <row r="244" spans="1:18" customHeight="1" ht="58">
      <c r="A244" s="16"/>
      <c r="B244" s="18" t="s">
        <v>782</v>
      </c>
      <c r="C244" s="17" t="s">
        <v>659</v>
      </c>
      <c r="D244" s="17" t="s">
        <v>477</v>
      </c>
      <c r="E244" s="17" t="s">
        <v>783</v>
      </c>
      <c r="F244" s="19"/>
      <c r="G244" s="20">
        <v>1.0</v>
      </c>
      <c r="H244" s="21"/>
      <c r="I244" s="21">
        <v>47.0</v>
      </c>
      <c r="J244" s="22">
        <v>2.0</v>
      </c>
      <c r="K244" s="50"/>
      <c r="L244" s="21" t="str">
        <f>IF(K244&gt;0,K244*I244,"")</f>
      </c>
      <c r="M244" s="52"/>
      <c r="N244" t="str">
        <f>IF(K244&gt;0,COUNTIF($K$7:K244,"&gt;0"),"")</f>
      </c>
      <c r="O244" t="s">
        <v>784</v>
      </c>
      <c r="P244" t="s">
        <v>781</v>
      </c>
      <c r="Q244" t="s">
        <v>781</v>
      </c>
    </row>
    <row r="246" spans="1:18">
      <c r="I246" s="30" t="s">
        <v>785</v>
      </c>
      <c r="J246" s="33"/>
      <c r="K246" s="36" t="str">
        <f>COUNTIF(K7:K244,"&gt;0")</f>
      </c>
    </row>
    <row r="247" spans="1:18">
      <c r="I247" s="31" t="s">
        <v>786</v>
      </c>
      <c r="J247" s="34"/>
      <c r="K247" s="37" t="str">
        <f>SUM(K7:K244)</f>
      </c>
    </row>
    <row r="248" spans="1:18">
      <c r="I248" s="32" t="s">
        <v>787</v>
      </c>
      <c r="J248" s="35"/>
      <c r="K248" s="38" t="str">
        <f>SUM(L7:L244)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140:M140"/>
    <mergeCell ref="A210:M210"/>
    <mergeCell ref="A228:M228"/>
    <mergeCell ref="I246:J246"/>
    <mergeCell ref="I247:J247"/>
    <mergeCell ref="I248:J248"/>
    <mergeCell ref="G5:I5"/>
  </mergeCells>
  <conditionalFormatting sqref="A7:M244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244">
    <cfRule type="expression" dxfId="2" priority="3">
      <formula>AND($K7&gt;$J7,$K7&gt;0)</formula>
    </cfRule>
  </conditionalFormatting>
  <dataValidations count="18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37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39:K44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38:K139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54:K182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85:K186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02:K207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09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11:K227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29:K238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43:K244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38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46:K137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141:K153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183:K184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187:K201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208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239:K242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3 упак" sqref="K45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  <hyperlink ref="B141" r:id="rId_hyperlink_133" tooltip="Открыть карточку товара на сайте" display="Открыть карточку товара на сайте"/>
    <hyperlink ref="B142" r:id="rId_hyperlink_134" tooltip="Открыть карточку товара на сайте" display="Открыть карточку товара на сайте"/>
    <hyperlink ref="B143" r:id="rId_hyperlink_135" tooltip="Открыть карточку товара на сайте" display="Открыть карточку товара на сайте"/>
    <hyperlink ref="B144" r:id="rId_hyperlink_136" tooltip="Открыть карточку товара на сайте" display="Открыть карточку товара на сайте"/>
    <hyperlink ref="B145" r:id="rId_hyperlink_137" tooltip="Открыть карточку товара на сайте" display="Открыть карточку товара на сайте"/>
    <hyperlink ref="B146" r:id="rId_hyperlink_138" tooltip="Открыть карточку товара на сайте" display="Открыть карточку товара на сайте"/>
    <hyperlink ref="B147" r:id="rId_hyperlink_139" tooltip="Открыть карточку товара на сайте" display="Открыть карточку товара на сайте"/>
    <hyperlink ref="B148" r:id="rId_hyperlink_140" tooltip="Открыть карточку товара на сайте" display="Открыть карточку товара на сайте"/>
    <hyperlink ref="B149" r:id="rId_hyperlink_141" tooltip="Открыть карточку товара на сайте" display="Открыть карточку товара на сайте"/>
    <hyperlink ref="B150" r:id="rId_hyperlink_142" tooltip="Открыть карточку товара на сайте" display="Открыть карточку товара на сайте"/>
    <hyperlink ref="B151" r:id="rId_hyperlink_143" tooltip="Открыть карточку товара на сайте" display="Открыть карточку товара на сайте"/>
    <hyperlink ref="B152" r:id="rId_hyperlink_144" tooltip="Открыть карточку товара на сайте" display="Открыть карточку товара на сайте"/>
    <hyperlink ref="B153" r:id="rId_hyperlink_145" tooltip="Открыть карточку товара на сайте" display="Открыть карточку товара на сайте"/>
    <hyperlink ref="B154" r:id="rId_hyperlink_146" tooltip="Открыть карточку товара на сайте" display="Открыть карточку товара на сайте"/>
    <hyperlink ref="B155" r:id="rId_hyperlink_147" tooltip="Открыть карточку товара на сайте" display="Открыть карточку товара на сайте"/>
    <hyperlink ref="B156" r:id="rId_hyperlink_148" tooltip="Открыть карточку товара на сайте" display="Открыть карточку товара на сайте"/>
    <hyperlink ref="B157" r:id="rId_hyperlink_149" tooltip="Открыть карточку товара на сайте" display="Открыть карточку товара на сайте"/>
    <hyperlink ref="B158" r:id="rId_hyperlink_150" tooltip="Открыть карточку товара на сайте" display="Открыть карточку товара на сайте"/>
    <hyperlink ref="B159" r:id="rId_hyperlink_151" tooltip="Открыть карточку товара на сайте" display="Открыть карточку товара на сайте"/>
    <hyperlink ref="B160" r:id="rId_hyperlink_152" tooltip="Открыть карточку товара на сайте" display="Открыть карточку товара на сайте"/>
    <hyperlink ref="B161" r:id="rId_hyperlink_153" tooltip="Открыть карточку товара на сайте" display="Открыть карточку товара на сайте"/>
    <hyperlink ref="B162" r:id="rId_hyperlink_154" tooltip="Открыть карточку товара на сайте" display="Открыть карточку товара на сайте"/>
    <hyperlink ref="B163" r:id="rId_hyperlink_155" tooltip="Открыть карточку товара на сайте" display="Открыть карточку товара на сайте"/>
    <hyperlink ref="B164" r:id="rId_hyperlink_156" tooltip="Открыть карточку товара на сайте" display="Открыть карточку товара на сайте"/>
    <hyperlink ref="B165" r:id="rId_hyperlink_157" tooltip="Открыть карточку товара на сайте" display="Открыть карточку товара на сайте"/>
    <hyperlink ref="B166" r:id="rId_hyperlink_158" tooltip="Открыть карточку товара на сайте" display="Открыть карточку товара на сайте"/>
    <hyperlink ref="B167" r:id="rId_hyperlink_159" tooltip="Открыть карточку товара на сайте" display="Открыть карточку товара на сайте"/>
    <hyperlink ref="B168" r:id="rId_hyperlink_160" tooltip="Открыть карточку товара на сайте" display="Открыть карточку товара на сайте"/>
    <hyperlink ref="B169" r:id="rId_hyperlink_161" tooltip="Открыть карточку товара на сайте" display="Открыть карточку товара на сайте"/>
    <hyperlink ref="B170" r:id="rId_hyperlink_162" tooltip="Открыть карточку товара на сайте" display="Открыть карточку товара на сайте"/>
    <hyperlink ref="B171" r:id="rId_hyperlink_163" tooltip="Открыть карточку товара на сайте" display="Открыть карточку товара на сайте"/>
    <hyperlink ref="B172" r:id="rId_hyperlink_164" tooltip="Открыть карточку товара на сайте" display="Открыть карточку товара на сайте"/>
    <hyperlink ref="B173" r:id="rId_hyperlink_165" tooltip="Открыть карточку товара на сайте" display="Открыть карточку товара на сайте"/>
    <hyperlink ref="B174" r:id="rId_hyperlink_166" tooltip="Открыть карточку товара на сайте" display="Открыть карточку товара на сайте"/>
    <hyperlink ref="B175" r:id="rId_hyperlink_167" tooltip="Открыть карточку товара на сайте" display="Открыть карточку товара на сайте"/>
    <hyperlink ref="B176" r:id="rId_hyperlink_168" tooltip="Открыть карточку товара на сайте" display="Открыть карточку товара на сайте"/>
    <hyperlink ref="B177" r:id="rId_hyperlink_169" tooltip="Открыть карточку товара на сайте" display="Открыть карточку товара на сайте"/>
    <hyperlink ref="B178" r:id="rId_hyperlink_170" tooltip="Открыть карточку товара на сайте" display="Открыть карточку товара на сайте"/>
    <hyperlink ref="B179" r:id="rId_hyperlink_171" tooltip="Открыть карточку товара на сайте" display="Открыть карточку товара на сайте"/>
    <hyperlink ref="B180" r:id="rId_hyperlink_172" tooltip="Открыть карточку товара на сайте" display="Открыть карточку товара на сайте"/>
    <hyperlink ref="B181" r:id="rId_hyperlink_173" tooltip="Открыть карточку товара на сайте" display="Открыть карточку товара на сайте"/>
    <hyperlink ref="B182" r:id="rId_hyperlink_174" tooltip="Открыть карточку товара на сайте" display="Открыть карточку товара на сайте"/>
    <hyperlink ref="B183" r:id="rId_hyperlink_175" tooltip="Открыть карточку товара на сайте" display="Открыть карточку товара на сайте"/>
    <hyperlink ref="B184" r:id="rId_hyperlink_176" tooltip="Открыть карточку товара на сайте" display="Открыть карточку товара на сайте"/>
    <hyperlink ref="B185" r:id="rId_hyperlink_177" tooltip="Открыть карточку товара на сайте" display="Открыть карточку товара на сайте"/>
    <hyperlink ref="B186" r:id="rId_hyperlink_178" tooltip="Открыть карточку товара на сайте" display="Открыть карточку товара на сайте"/>
    <hyperlink ref="B187" r:id="rId_hyperlink_179" tooltip="Открыть карточку товара на сайте" display="Открыть карточку товара на сайте"/>
    <hyperlink ref="B188" r:id="rId_hyperlink_180" tooltip="Открыть карточку товара на сайте" display="Открыть карточку товара на сайте"/>
    <hyperlink ref="B189" r:id="rId_hyperlink_181" tooltip="Открыть карточку товара на сайте" display="Открыть карточку товара на сайте"/>
    <hyperlink ref="B190" r:id="rId_hyperlink_182" tooltip="Открыть карточку товара на сайте" display="Открыть карточку товара на сайте"/>
    <hyperlink ref="B191" r:id="rId_hyperlink_183" tooltip="Открыть карточку товара на сайте" display="Открыть карточку товара на сайте"/>
    <hyperlink ref="B192" r:id="rId_hyperlink_184" tooltip="Открыть карточку товара на сайте" display="Открыть карточку товара на сайте"/>
    <hyperlink ref="B193" r:id="rId_hyperlink_185" tooltip="Открыть карточку товара на сайте" display="Открыть карточку товара на сайте"/>
    <hyperlink ref="B194" r:id="rId_hyperlink_186" tooltip="Открыть карточку товара на сайте" display="Открыть карточку товара на сайте"/>
    <hyperlink ref="B195" r:id="rId_hyperlink_187" tooltip="Открыть карточку товара на сайте" display="Открыть карточку товара на сайте"/>
    <hyperlink ref="B196" r:id="rId_hyperlink_188" tooltip="Открыть карточку товара на сайте" display="Открыть карточку товара на сайте"/>
    <hyperlink ref="B197" r:id="rId_hyperlink_189" tooltip="Открыть карточку товара на сайте" display="Открыть карточку товара на сайте"/>
    <hyperlink ref="B198" r:id="rId_hyperlink_190" tooltip="Открыть карточку товара на сайте" display="Открыть карточку товара на сайте"/>
    <hyperlink ref="B199" r:id="rId_hyperlink_191" tooltip="Открыть карточку товара на сайте" display="Открыть карточку товара на сайте"/>
    <hyperlink ref="B200" r:id="rId_hyperlink_192" tooltip="Открыть карточку товара на сайте" display="Открыть карточку товара на сайте"/>
    <hyperlink ref="B201" r:id="rId_hyperlink_193" tooltip="Открыть карточку товара на сайте" display="Открыть карточку товара на сайте"/>
    <hyperlink ref="B202" r:id="rId_hyperlink_194" tooltip="Открыть карточку товара на сайте" display="Открыть карточку товара на сайте"/>
    <hyperlink ref="B203" r:id="rId_hyperlink_195" tooltip="Открыть карточку товара на сайте" display="Открыть карточку товара на сайте"/>
    <hyperlink ref="B204" r:id="rId_hyperlink_196" tooltip="Открыть карточку товара на сайте" display="Открыть карточку товара на сайте"/>
    <hyperlink ref="B205" r:id="rId_hyperlink_197" tooltip="Открыть карточку товара на сайте" display="Открыть карточку товара на сайте"/>
    <hyperlink ref="B206" r:id="rId_hyperlink_198" tooltip="Открыть карточку товара на сайте" display="Открыть карточку товара на сайте"/>
    <hyperlink ref="B207" r:id="rId_hyperlink_199" tooltip="Открыть карточку товара на сайте" display="Открыть карточку товара на сайте"/>
    <hyperlink ref="B208" r:id="rId_hyperlink_200" tooltip="Открыть карточку товара на сайте" display="Открыть карточку товара на сайте"/>
    <hyperlink ref="B209" r:id="rId_hyperlink_201" tooltip="Открыть карточку товара на сайте" display="Открыть карточку товара на сайте"/>
    <hyperlink ref="B211" r:id="rId_hyperlink_202" tooltip="Открыть карточку товара на сайте" display="Открыть карточку товара на сайте"/>
    <hyperlink ref="B212" r:id="rId_hyperlink_203" tooltip="Открыть карточку товара на сайте" display="Открыть карточку товара на сайте"/>
    <hyperlink ref="B213" r:id="rId_hyperlink_204" tooltip="Открыть карточку товара на сайте" display="Открыть карточку товара на сайте"/>
    <hyperlink ref="B214" r:id="rId_hyperlink_205" tooltip="Открыть карточку товара на сайте" display="Открыть карточку товара на сайте"/>
    <hyperlink ref="B215" r:id="rId_hyperlink_206" tooltip="Открыть карточку товара на сайте" display="Открыть карточку товара на сайте"/>
    <hyperlink ref="B216" r:id="rId_hyperlink_207" tooltip="Открыть карточку товара на сайте" display="Открыть карточку товара на сайте"/>
    <hyperlink ref="B217" r:id="rId_hyperlink_208" tooltip="Открыть карточку товара на сайте" display="Открыть карточку товара на сайте"/>
    <hyperlink ref="B218" r:id="rId_hyperlink_209" tooltip="Открыть карточку товара на сайте" display="Открыть карточку товара на сайте"/>
    <hyperlink ref="B219" r:id="rId_hyperlink_210" tooltip="Открыть карточку товара на сайте" display="Открыть карточку товара на сайте"/>
    <hyperlink ref="B220" r:id="rId_hyperlink_211" tooltip="Открыть карточку товара на сайте" display="Открыть карточку товара на сайте"/>
    <hyperlink ref="B221" r:id="rId_hyperlink_212" tooltip="Открыть карточку товара на сайте" display="Открыть карточку товара на сайте"/>
    <hyperlink ref="B222" r:id="rId_hyperlink_213" tooltip="Открыть карточку товара на сайте" display="Открыть карточку товара на сайте"/>
    <hyperlink ref="B223" r:id="rId_hyperlink_214" tooltip="Открыть карточку товара на сайте" display="Открыть карточку товара на сайте"/>
    <hyperlink ref="B224" r:id="rId_hyperlink_215" tooltip="Открыть карточку товара на сайте" display="Открыть карточку товара на сайте"/>
    <hyperlink ref="B225" r:id="rId_hyperlink_216" tooltip="Открыть карточку товара на сайте" display="Открыть карточку товара на сайте"/>
    <hyperlink ref="B226" r:id="rId_hyperlink_217" tooltip="Открыть карточку товара на сайте" display="Открыть карточку товара на сайте"/>
    <hyperlink ref="B227" r:id="rId_hyperlink_218" tooltip="Открыть карточку товара на сайте" display="Открыть карточку товара на сайте"/>
    <hyperlink ref="B229" r:id="rId_hyperlink_219" tooltip="Открыть карточку товара на сайте" display="Открыть карточку товара на сайте"/>
    <hyperlink ref="B230" r:id="rId_hyperlink_220" tooltip="Открыть карточку товара на сайте" display="Открыть карточку товара на сайте"/>
    <hyperlink ref="B231" r:id="rId_hyperlink_221" tooltip="Открыть карточку товара на сайте" display="Открыть карточку товара на сайте"/>
    <hyperlink ref="B232" r:id="rId_hyperlink_222" tooltip="Открыть карточку товара на сайте" display="Открыть карточку товара на сайте"/>
    <hyperlink ref="B233" r:id="rId_hyperlink_223" tooltip="Открыть карточку товара на сайте" display="Открыть карточку товара на сайте"/>
    <hyperlink ref="B234" r:id="rId_hyperlink_224" tooltip="Открыть карточку товара на сайте" display="Открыть карточку товара на сайте"/>
    <hyperlink ref="B235" r:id="rId_hyperlink_225" tooltip="Открыть карточку товара на сайте" display="Открыть карточку товара на сайте"/>
    <hyperlink ref="B236" r:id="rId_hyperlink_226" tooltip="Открыть карточку товара на сайте" display="Открыть карточку товара на сайте"/>
    <hyperlink ref="B237" r:id="rId_hyperlink_227" tooltip="Открыть карточку товара на сайте" display="Открыть карточку товара на сайте"/>
    <hyperlink ref="B238" r:id="rId_hyperlink_228" tooltip="Открыть карточку товара на сайте" display="Открыть карточку товара на сайте"/>
    <hyperlink ref="B239" r:id="rId_hyperlink_229" tooltip="Открыть карточку товара на сайте" display="Открыть карточку товара на сайте"/>
    <hyperlink ref="B240" r:id="rId_hyperlink_230" tooltip="Открыть карточку товара на сайте" display="Открыть карточку товара на сайте"/>
    <hyperlink ref="B241" r:id="rId_hyperlink_231" tooltip="Открыть карточку товара на сайте" display="Открыть карточку товара на сайте"/>
    <hyperlink ref="B242" r:id="rId_hyperlink_232" tooltip="Открыть карточку товара на сайте" display="Открыть карточку товара на сайте"/>
    <hyperlink ref="B243" r:id="rId_hyperlink_233" tooltip="Открыть карточку товара на сайте" display="Открыть карточку товара на сайте"/>
    <hyperlink ref="B244" r:id="rId_hyperlink_234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42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792</v>
      </c>
    </row>
    <row r="2" spans="1:12" customHeight="1" ht="26">
      <c r="A2" s="54" t="s">
        <v>793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794</v>
      </c>
      <c r="B6" s="56"/>
      <c r="C6" s="57" t="str">
        <f>'Прайс и заказ'!K246</f>
      </c>
      <c r="D6" s="58" t="s">
        <v>786</v>
      </c>
      <c r="E6" s="56"/>
      <c r="F6" s="57" t="str">
        <f>'Прайс и заказ'!K247</f>
      </c>
      <c r="G6" s="58" t="s">
        <v>787</v>
      </c>
      <c r="H6" s="56"/>
      <c r="I6" s="59" t="str">
        <f>'Прайс и заказ'!K248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795</v>
      </c>
      <c r="G8" s="60" t="s">
        <v>23</v>
      </c>
      <c r="H8" s="60" t="s">
        <v>24</v>
      </c>
      <c r="I8" s="60" t="s">
        <v>5</v>
      </c>
      <c r="J8" s="40" t="s">
        <v>788</v>
      </c>
      <c r="L8" s="40" t="s">
        <v>790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заказ'!$N$7:$N$244,0)+6,0)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заказ'!$N$7:$N$244,0)+6,0)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заказ'!$N$7:$N$244,0)+6,0)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заказ'!$N$7:$N$244,0)+6,0)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заказ'!$N$7:$N$244,0)+6,0)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заказ'!$N$7:$N$244,0)+6,0)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заказ'!$N$7:$N$244,0)+6,0)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заказ'!$N$7:$N$244,0)+6,0)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заказ'!$N$7:$N$244,0)+6,0)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заказ'!$N$7:$N$244,0)+6,0)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заказ'!$N$7:$N$244,0)+6,0)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заказ'!$N$7:$N$244,0)+6,0)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заказ'!$N$7:$N$244,0)+6,0)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заказ'!$N$7:$N$244,0)+6,0)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заказ'!$N$7:$N$244,0)+6,0)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заказ'!$N$7:$N$244,0)+6,0)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заказ'!$N$7:$N$244,0)+6,0)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заказ'!$N$7:$N$244,0)+6,0)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заказ'!$N$7:$N$244,0)+6,0)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заказ'!$N$7:$N$244,0)+6,0)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заказ'!$N$7:$N$244,0)+6,0)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заказ'!$N$7:$N$244,0)+6,0)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заказ'!$N$7:$N$244,0)+6,0)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заказ'!$N$7:$N$244,0)+6,0)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заказ'!$N$7:$N$244,0)+6,0)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заказ'!$N$7:$N$244,0)+6,0)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заказ'!$N$7:$N$244,0)+6,0)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заказ'!$N$7:$N$244,0)+6,0)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заказ'!$N$7:$N$244,0)+6,0)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заказ'!$N$7:$N$244,0)+6,0)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заказ'!$N$7:$N$244,0)+6,0)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заказ'!$N$7:$N$244,0)+6,0)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заказ'!$N$7:$N$244,0)+6,0)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заказ'!$N$7:$N$244,0)+6,0)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заказ'!$N$7:$N$244,0)+6,0)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заказ'!$N$7:$N$244,0)+6,0)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заказ'!$N$7:$N$244,0)+6,0)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заказ'!$N$7:$N$244,0)+6,0)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заказ'!$N$7:$N$244,0)+6,0)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заказ'!$N$7:$N$244,0)+6,0)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заказ'!$N$7:$N$244,0)+6,0)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заказ'!$N$7:$N$244,0)+6,0)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заказ'!$N$7:$N$244,0)+6,0)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заказ'!$N$7:$N$244,0)+6,0)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заказ'!$N$7:$N$244,0)+6,0)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заказ'!$N$7:$N$244,0)+6,0)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заказ'!$N$7:$N$244,0)+6,0)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заказ'!$N$7:$N$244,0)+6,0)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заказ'!$N$7:$N$244,0)+6,0)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заказ'!$N$7:$N$244,0)+6,0)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заказ'!$N$7:$N$244,0)+6,0)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заказ'!$N$7:$N$244,0)+6,0)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заказ'!$N$7:$N$244,0)+6,0)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заказ'!$N$7:$N$244,0)+6,0)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заказ'!$N$7:$N$244,0)+6,0)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заказ'!$N$7:$N$244,0)+6,0)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заказ'!$N$7:$N$244,0)+6,0)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заказ'!$N$7:$N$244,0)+6,0)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заказ'!$N$7:$N$244,0)+6,0)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заказ'!$N$7:$N$244,0)+6,0)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заказ'!$N$7:$N$244,0)+6,0)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заказ'!$N$7:$N$244,0)+6,0)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заказ'!$N$7:$N$244,0)+6,0)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заказ'!$N$7:$N$244,0)+6,0)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заказ'!$N$7:$N$244,0)+6,0)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заказ'!$N$7:$N$244,0)+6,0)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заказ'!$N$7:$N$244,0)+6,0)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заказ'!$N$7:$N$244,0)+6,0)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заказ'!$N$7:$N$244,0)+6,0)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заказ'!$N$7:$N$244,0)+6,0)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заказ'!$N$7:$N$244,0)+6,0)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заказ'!$N$7:$N$244,0)+6,0)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заказ'!$N$7:$N$244,0)+6,0)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заказ'!$N$7:$N$244,0)+6,0)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заказ'!$N$7:$N$244,0)+6,0)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заказ'!$N$7:$N$244,0)+6,0)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заказ'!$N$7:$N$244,0)+6,0)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заказ'!$N$7:$N$244,0)+6,0)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заказ'!$N$7:$N$244,0)+6,0)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заказ'!$N$7:$N$244,0)+6,0)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заказ'!$N$7:$N$244,0)+6,0)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заказ'!$N$7:$N$244,0)+6,0)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заказ'!$N$7:$N$244,0)+6,0)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заказ'!$N$7:$N$244,0)+6,0)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заказ'!$N$7:$N$244,0)+6,0)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заказ'!$N$7:$N$244,0)+6,0)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заказ'!$N$7:$N$244,0)+6,0)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заказ'!$N$7:$N$244,0)+6,0)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заказ'!$N$7:$N$244,0)+6,0)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заказ'!$N$7:$N$244,0)+6,0)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заказ'!$N$7:$N$244,0)+6,0)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заказ'!$N$7:$N$244,0)+6,0)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заказ'!$N$7:$N$244,0)+6,0)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заказ'!$N$7:$N$244,0)+6,0)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заказ'!$N$7:$N$244,0)+6,0)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заказ'!$N$7:$N$244,0)+6,0)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заказ'!$N$7:$N$244,0)+6,0)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заказ'!$N$7:$N$244,0)+6,0)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заказ'!$N$7:$N$244,0)+6,0)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заказ'!$N$7:$N$244,0)+6,0)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заказ'!$N$7:$N$244,0)+6,0)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заказ'!$N$7:$N$244,0)+6,0)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заказ'!$N$7:$N$244,0)+6,0)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заказ'!$N$7:$N$244,0)+6,0)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заказ'!$N$7:$N$244,0)+6,0)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заказ'!$N$7:$N$244,0)+6,0)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заказ'!$N$7:$N$244,0)+6,0)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заказ'!$N$7:$N$244,0)+6,0)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заказ'!$N$7:$N$244,0)+6,0)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заказ'!$N$7:$N$244,0)+6,0)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заказ'!$N$7:$N$244,0)+6,0)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заказ'!$N$7:$N$244,0)+6,0)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заказ'!$N$7:$N$244,0)+6,0)</f>
      </c>
      <c r="L121" t="str">
        <f>IF($J121=0,"",IF(INDEX('Прайс и заказ'!Q:Q,$J121)="","",INDEX('Прайс и заказ'!Q:Q,$J121)))</f>
      </c>
    </row>
    <row r="122" spans="1:12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заказ'!$N$7:$N$244,0)+6,0)</f>
      </c>
      <c r="L122" t="str">
        <f>IF($J122=0,"",IF(INDEX('Прайс и заказ'!Q:Q,$J122)="","",INDEX('Прайс и заказ'!Q:Q,$J122)))</f>
      </c>
    </row>
    <row r="123" spans="1:12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заказ'!$N$7:$N$244,0)+6,0)</f>
      </c>
      <c r="L123" t="str">
        <f>IF($J123=0,"",IF(INDEX('Прайс и заказ'!Q:Q,$J123)="","",INDEX('Прайс и заказ'!Q:Q,$J123)))</f>
      </c>
    </row>
    <row r="124" spans="1:12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заказ'!$N$7:$N$244,0)+6,0)</f>
      </c>
      <c r="L124" t="str">
        <f>IF($J124=0,"",IF(INDEX('Прайс и заказ'!Q:Q,$J124)="","",INDEX('Прайс и заказ'!Q:Q,$J124)))</f>
      </c>
    </row>
    <row r="125" spans="1:12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заказ'!$N$7:$N$244,0)+6,0)</f>
      </c>
      <c r="L125" t="str">
        <f>IF($J125=0,"",IF(INDEX('Прайс и заказ'!Q:Q,$J125)="","",INDEX('Прайс и заказ'!Q:Q,$J125)))</f>
      </c>
    </row>
    <row r="126" spans="1:12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заказ'!$N$7:$N$244,0)+6,0)</f>
      </c>
      <c r="L126" t="str">
        <f>IF($J126=0,"",IF(INDEX('Прайс и заказ'!Q:Q,$J126)="","",INDEX('Прайс и заказ'!Q:Q,$J126)))</f>
      </c>
    </row>
    <row r="127" spans="1:12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заказ'!$N$7:$N$244,0)+6,0)</f>
      </c>
      <c r="L127" t="str">
        <f>IF($J127=0,"",IF(INDEX('Прайс и заказ'!Q:Q,$J127)="","",INDEX('Прайс и заказ'!Q:Q,$J127)))</f>
      </c>
    </row>
    <row r="128" spans="1:12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заказ'!$N$7:$N$244,0)+6,0)</f>
      </c>
      <c r="L128" t="str">
        <f>IF($J128=0,"",IF(INDEX('Прайс и заказ'!Q:Q,$J128)="","",INDEX('Прайс и заказ'!Q:Q,$J128)))</f>
      </c>
    </row>
    <row r="129" spans="1:12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заказ'!$N$7:$N$244,0)+6,0)</f>
      </c>
      <c r="L129" t="str">
        <f>IF($J129=0,"",IF(INDEX('Прайс и заказ'!Q:Q,$J129)="","",INDEX('Прайс и заказ'!Q:Q,$J129)))</f>
      </c>
    </row>
    <row r="130" spans="1:12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заказ'!$N$7:$N$244,0)+6,0)</f>
      </c>
      <c r="L130" t="str">
        <f>IF($J130=0,"",IF(INDEX('Прайс и заказ'!Q:Q,$J130)="","",INDEX('Прайс и заказ'!Q:Q,$J130)))</f>
      </c>
    </row>
    <row r="131" spans="1:12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заказ'!$N$7:$N$244,0)+6,0)</f>
      </c>
      <c r="L131" t="str">
        <f>IF($J131=0,"",IF(INDEX('Прайс и заказ'!Q:Q,$J131)="","",INDEX('Прайс и заказ'!Q:Q,$J131)))</f>
      </c>
    </row>
    <row r="132" spans="1:12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заказ'!$N$7:$N$244,0)+6,0)</f>
      </c>
      <c r="L132" t="str">
        <f>IF($J132=0,"",IF(INDEX('Прайс и заказ'!Q:Q,$J132)="","",INDEX('Прайс и заказ'!Q:Q,$J132)))</f>
      </c>
    </row>
    <row r="133" spans="1:12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заказ'!$N$7:$N$244,0)+6,0)</f>
      </c>
      <c r="L133" t="str">
        <f>IF($J133=0,"",IF(INDEX('Прайс и заказ'!Q:Q,$J133)="","",INDEX('Прайс и заказ'!Q:Q,$J133)))</f>
      </c>
    </row>
    <row r="134" spans="1:12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заказ'!$N$7:$N$244,0)+6,0)</f>
      </c>
      <c r="L134" t="str">
        <f>IF($J134=0,"",IF(INDEX('Прайс и заказ'!Q:Q,$J134)="","",INDEX('Прайс и заказ'!Q:Q,$J134)))</f>
      </c>
    </row>
    <row r="135" spans="1:12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заказ'!$N$7:$N$244,0)+6,0)</f>
      </c>
      <c r="L135" t="str">
        <f>IF($J135=0,"",IF(INDEX('Прайс и заказ'!Q:Q,$J135)="","",INDEX('Прайс и заказ'!Q:Q,$J135)))</f>
      </c>
    </row>
    <row r="136" spans="1:12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заказ'!$N$7:$N$244,0)+6,0)</f>
      </c>
      <c r="L136" t="str">
        <f>IF($J136=0,"",IF(INDEX('Прайс и заказ'!Q:Q,$J136)="","",INDEX('Прайс и заказ'!Q:Q,$J136)))</f>
      </c>
    </row>
    <row r="137" spans="1:12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заказ'!$N$7:$N$244,0)+6,0)</f>
      </c>
      <c r="L137" t="str">
        <f>IF($J137=0,"",IF(INDEX('Прайс и заказ'!Q:Q,$J137)="","",INDEX('Прайс и заказ'!Q:Q,$J137)))</f>
      </c>
    </row>
    <row r="138" spans="1:12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заказ'!$N$7:$N$244,0)+6,0)</f>
      </c>
      <c r="L138" t="str">
        <f>IF($J138=0,"",IF(INDEX('Прайс и заказ'!Q:Q,$J138)="","",INDEX('Прайс и заказ'!Q:Q,$J138)))</f>
      </c>
    </row>
    <row r="139" spans="1:12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заказ'!$N$7:$N$244,0)+6,0)</f>
      </c>
      <c r="L139" t="str">
        <f>IF($J139=0,"",IF(INDEX('Прайс и заказ'!Q:Q,$J139)="","",INDEX('Прайс и заказ'!Q:Q,$J139)))</f>
      </c>
    </row>
    <row r="140" spans="1:12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заказ'!$N$7:$N$244,0)+6,0)</f>
      </c>
      <c r="L140" t="str">
        <f>IF($J140=0,"",IF(INDEX('Прайс и заказ'!Q:Q,$J140)="","",INDEX('Прайс и заказ'!Q:Q,$J140)))</f>
      </c>
    </row>
    <row r="141" spans="1:12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заказ'!$N$7:$N$244,0)+6,0)</f>
      </c>
      <c r="L141" t="str">
        <f>IF($J141=0,"",IF(INDEX('Прайс и заказ'!Q:Q,$J141)="","",INDEX('Прайс и заказ'!Q:Q,$J141)))</f>
      </c>
    </row>
    <row r="142" spans="1:12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заказ'!$N$7:$N$244,0)+6,0)</f>
      </c>
      <c r="L142" t="str">
        <f>IF($J142=0,"",IF(INDEX('Прайс и заказ'!Q:Q,$J142)="","",INDEX('Прайс и заказ'!Q:Q,$J142)))</f>
      </c>
    </row>
    <row r="143" spans="1:12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заказ'!$N$7:$N$244,0)+6,0)</f>
      </c>
      <c r="L143" t="str">
        <f>IF($J143=0,"",IF(INDEX('Прайс и заказ'!Q:Q,$J143)="","",INDEX('Прайс и заказ'!Q:Q,$J143)))</f>
      </c>
    </row>
    <row r="144" spans="1:12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заказ'!$N$7:$N$244,0)+6,0)</f>
      </c>
      <c r="L144" t="str">
        <f>IF($J144=0,"",IF(INDEX('Прайс и заказ'!Q:Q,$J144)="","",INDEX('Прайс и заказ'!Q:Q,$J144)))</f>
      </c>
    </row>
    <row r="145" spans="1:12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заказ'!$N$7:$N$244,0)+6,0)</f>
      </c>
      <c r="L145" t="str">
        <f>IF($J145=0,"",IF(INDEX('Прайс и заказ'!Q:Q,$J145)="","",INDEX('Прайс и заказ'!Q:Q,$J145)))</f>
      </c>
    </row>
    <row r="146" spans="1:12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заказ'!$N$7:$N$244,0)+6,0)</f>
      </c>
      <c r="L146" t="str">
        <f>IF($J146=0,"",IF(INDEX('Прайс и заказ'!Q:Q,$J146)="","",INDEX('Прайс и заказ'!Q:Q,$J146)))</f>
      </c>
    </row>
    <row r="147" spans="1:12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заказ'!$N$7:$N$244,0)+6,0)</f>
      </c>
      <c r="L147" t="str">
        <f>IF($J147=0,"",IF(INDEX('Прайс и заказ'!Q:Q,$J147)="","",INDEX('Прайс и заказ'!Q:Q,$J147)))</f>
      </c>
    </row>
    <row r="148" spans="1:12" customHeight="1" ht="40">
      <c r="A148" s="13" t="str">
        <f>IF($J148=0,"",IFERROR(_xlfn.IMAGE(INDEX('Прайс и заказ'!$O:$O,$J148)),""))</f>
      </c>
      <c r="B148" s="61" t="str">
        <f>IF($J148=0,"",IF(INDEX('Прайс и заказ'!B:B,$J148)="","",INDEX('Прайс и заказ'!B:B,$J148)))</f>
      </c>
      <c r="C148" s="64" t="str">
        <f>IF($J148=0,"",IF(INDEX('Прайс и заказ'!C:C,$J148)="","",INDEX('Прайс и заказ'!C:C,$J148)))</f>
      </c>
      <c r="D148" s="64" t="str">
        <f>IF($J148=0,"",IF(INDEX('Прайс и заказ'!D:D,$J148)="","",INDEX('Прайс и заказ'!D:D,$J148)))</f>
      </c>
      <c r="E148" s="61" t="str">
        <f>IF($J148=0,"",IF(INDEX('Прайс и заказ'!F:F,$J148)="","",INDEX('Прайс и заказ'!F:F,$J148)))</f>
      </c>
      <c r="F148" s="62" t="str">
        <f>IF($J148=0,"",IF(INDEX('Прайс и заказ'!I:I,$J148)="","",INDEX('Прайс и заказ'!I:I,$J148)))</f>
      </c>
      <c r="G148" s="63" t="str">
        <f>IF($J148=0,"",IF(INDEX('Прайс и заказ'!K:K,$J148)="","",INDEX('Прайс и заказ'!K:K,$J148)))</f>
      </c>
      <c r="H148" s="62" t="str">
        <f>IF($J148=0,"",IF(INDEX('Прайс и заказ'!L:L,$J148)="","",INDEX('Прайс и заказ'!L:L,$J148)))</f>
      </c>
      <c r="I148" s="13" t="str">
        <f>IF($J148=0,"",IF(INDEX('Прайс и заказ'!M:M,$J148)="","",INDEX('Прайс и заказ'!M:M,$J148)))</f>
      </c>
      <c r="J148" t="str">
        <f>IFERROR(MATCH(140,'Прайс и заказ'!$N$7:$N$244,0)+6,0)</f>
      </c>
      <c r="L148" t="str">
        <f>IF($J148=0,"",IF(INDEX('Прайс и заказ'!Q:Q,$J148)="","",INDEX('Прайс и заказ'!Q:Q,$J148)))</f>
      </c>
    </row>
    <row r="149" spans="1:12" customHeight="1" ht="40">
      <c r="A149" s="13" t="str">
        <f>IF($J149=0,"",IFERROR(_xlfn.IMAGE(INDEX('Прайс и заказ'!$O:$O,$J149)),""))</f>
      </c>
      <c r="B149" s="61" t="str">
        <f>IF($J149=0,"",IF(INDEX('Прайс и заказ'!B:B,$J149)="","",INDEX('Прайс и заказ'!B:B,$J149)))</f>
      </c>
      <c r="C149" s="64" t="str">
        <f>IF($J149=0,"",IF(INDEX('Прайс и заказ'!C:C,$J149)="","",INDEX('Прайс и заказ'!C:C,$J149)))</f>
      </c>
      <c r="D149" s="64" t="str">
        <f>IF($J149=0,"",IF(INDEX('Прайс и заказ'!D:D,$J149)="","",INDEX('Прайс и заказ'!D:D,$J149)))</f>
      </c>
      <c r="E149" s="61" t="str">
        <f>IF($J149=0,"",IF(INDEX('Прайс и заказ'!F:F,$J149)="","",INDEX('Прайс и заказ'!F:F,$J149)))</f>
      </c>
      <c r="F149" s="62" t="str">
        <f>IF($J149=0,"",IF(INDEX('Прайс и заказ'!I:I,$J149)="","",INDEX('Прайс и заказ'!I:I,$J149)))</f>
      </c>
      <c r="G149" s="63" t="str">
        <f>IF($J149=0,"",IF(INDEX('Прайс и заказ'!K:K,$J149)="","",INDEX('Прайс и заказ'!K:K,$J149)))</f>
      </c>
      <c r="H149" s="62" t="str">
        <f>IF($J149=0,"",IF(INDEX('Прайс и заказ'!L:L,$J149)="","",INDEX('Прайс и заказ'!L:L,$J149)))</f>
      </c>
      <c r="I149" s="13" t="str">
        <f>IF($J149=0,"",IF(INDEX('Прайс и заказ'!M:M,$J149)="","",INDEX('Прайс и заказ'!M:M,$J149)))</f>
      </c>
      <c r="J149" t="str">
        <f>IFERROR(MATCH(141,'Прайс и заказ'!$N$7:$N$244,0)+6,0)</f>
      </c>
      <c r="L149" t="str">
        <f>IF($J149=0,"",IF(INDEX('Прайс и заказ'!Q:Q,$J149)="","",INDEX('Прайс и заказ'!Q:Q,$J149)))</f>
      </c>
    </row>
    <row r="150" spans="1:12" customHeight="1" ht="40">
      <c r="A150" s="13" t="str">
        <f>IF($J150=0,"",IFERROR(_xlfn.IMAGE(INDEX('Прайс и заказ'!$O:$O,$J150)),""))</f>
      </c>
      <c r="B150" s="61" t="str">
        <f>IF($J150=0,"",IF(INDEX('Прайс и заказ'!B:B,$J150)="","",INDEX('Прайс и заказ'!B:B,$J150)))</f>
      </c>
      <c r="C150" s="64" t="str">
        <f>IF($J150=0,"",IF(INDEX('Прайс и заказ'!C:C,$J150)="","",INDEX('Прайс и заказ'!C:C,$J150)))</f>
      </c>
      <c r="D150" s="64" t="str">
        <f>IF($J150=0,"",IF(INDEX('Прайс и заказ'!D:D,$J150)="","",INDEX('Прайс и заказ'!D:D,$J150)))</f>
      </c>
      <c r="E150" s="61" t="str">
        <f>IF($J150=0,"",IF(INDEX('Прайс и заказ'!F:F,$J150)="","",INDEX('Прайс и заказ'!F:F,$J150)))</f>
      </c>
      <c r="F150" s="62" t="str">
        <f>IF($J150=0,"",IF(INDEX('Прайс и заказ'!I:I,$J150)="","",INDEX('Прайс и заказ'!I:I,$J150)))</f>
      </c>
      <c r="G150" s="63" t="str">
        <f>IF($J150=0,"",IF(INDEX('Прайс и заказ'!K:K,$J150)="","",INDEX('Прайс и заказ'!K:K,$J150)))</f>
      </c>
      <c r="H150" s="62" t="str">
        <f>IF($J150=0,"",IF(INDEX('Прайс и заказ'!L:L,$J150)="","",INDEX('Прайс и заказ'!L:L,$J150)))</f>
      </c>
      <c r="I150" s="13" t="str">
        <f>IF($J150=0,"",IF(INDEX('Прайс и заказ'!M:M,$J150)="","",INDEX('Прайс и заказ'!M:M,$J150)))</f>
      </c>
      <c r="J150" t="str">
        <f>IFERROR(MATCH(142,'Прайс и заказ'!$N$7:$N$244,0)+6,0)</f>
      </c>
      <c r="L150" t="str">
        <f>IF($J150=0,"",IF(INDEX('Прайс и заказ'!Q:Q,$J150)="","",INDEX('Прайс и заказ'!Q:Q,$J150)))</f>
      </c>
    </row>
    <row r="151" spans="1:12" customHeight="1" ht="40">
      <c r="A151" s="13" t="str">
        <f>IF($J151=0,"",IFERROR(_xlfn.IMAGE(INDEX('Прайс и заказ'!$O:$O,$J151)),""))</f>
      </c>
      <c r="B151" s="61" t="str">
        <f>IF($J151=0,"",IF(INDEX('Прайс и заказ'!B:B,$J151)="","",INDEX('Прайс и заказ'!B:B,$J151)))</f>
      </c>
      <c r="C151" s="64" t="str">
        <f>IF($J151=0,"",IF(INDEX('Прайс и заказ'!C:C,$J151)="","",INDEX('Прайс и заказ'!C:C,$J151)))</f>
      </c>
      <c r="D151" s="64" t="str">
        <f>IF($J151=0,"",IF(INDEX('Прайс и заказ'!D:D,$J151)="","",INDEX('Прайс и заказ'!D:D,$J151)))</f>
      </c>
      <c r="E151" s="61" t="str">
        <f>IF($J151=0,"",IF(INDEX('Прайс и заказ'!F:F,$J151)="","",INDEX('Прайс и заказ'!F:F,$J151)))</f>
      </c>
      <c r="F151" s="62" t="str">
        <f>IF($J151=0,"",IF(INDEX('Прайс и заказ'!I:I,$J151)="","",INDEX('Прайс и заказ'!I:I,$J151)))</f>
      </c>
      <c r="G151" s="63" t="str">
        <f>IF($J151=0,"",IF(INDEX('Прайс и заказ'!K:K,$J151)="","",INDEX('Прайс и заказ'!K:K,$J151)))</f>
      </c>
      <c r="H151" s="62" t="str">
        <f>IF($J151=0,"",IF(INDEX('Прайс и заказ'!L:L,$J151)="","",INDEX('Прайс и заказ'!L:L,$J151)))</f>
      </c>
      <c r="I151" s="13" t="str">
        <f>IF($J151=0,"",IF(INDEX('Прайс и заказ'!M:M,$J151)="","",INDEX('Прайс и заказ'!M:M,$J151)))</f>
      </c>
      <c r="J151" t="str">
        <f>IFERROR(MATCH(143,'Прайс и заказ'!$N$7:$N$244,0)+6,0)</f>
      </c>
      <c r="L151" t="str">
        <f>IF($J151=0,"",IF(INDEX('Прайс и заказ'!Q:Q,$J151)="","",INDEX('Прайс и заказ'!Q:Q,$J151)))</f>
      </c>
    </row>
    <row r="152" spans="1:12" customHeight="1" ht="40">
      <c r="A152" s="13" t="str">
        <f>IF($J152=0,"",IFERROR(_xlfn.IMAGE(INDEX('Прайс и заказ'!$O:$O,$J152)),""))</f>
      </c>
      <c r="B152" s="61" t="str">
        <f>IF($J152=0,"",IF(INDEX('Прайс и заказ'!B:B,$J152)="","",INDEX('Прайс и заказ'!B:B,$J152)))</f>
      </c>
      <c r="C152" s="64" t="str">
        <f>IF($J152=0,"",IF(INDEX('Прайс и заказ'!C:C,$J152)="","",INDEX('Прайс и заказ'!C:C,$J152)))</f>
      </c>
      <c r="D152" s="64" t="str">
        <f>IF($J152=0,"",IF(INDEX('Прайс и заказ'!D:D,$J152)="","",INDEX('Прайс и заказ'!D:D,$J152)))</f>
      </c>
      <c r="E152" s="61" t="str">
        <f>IF($J152=0,"",IF(INDEX('Прайс и заказ'!F:F,$J152)="","",INDEX('Прайс и заказ'!F:F,$J152)))</f>
      </c>
      <c r="F152" s="62" t="str">
        <f>IF($J152=0,"",IF(INDEX('Прайс и заказ'!I:I,$J152)="","",INDEX('Прайс и заказ'!I:I,$J152)))</f>
      </c>
      <c r="G152" s="63" t="str">
        <f>IF($J152=0,"",IF(INDEX('Прайс и заказ'!K:K,$J152)="","",INDEX('Прайс и заказ'!K:K,$J152)))</f>
      </c>
      <c r="H152" s="62" t="str">
        <f>IF($J152=0,"",IF(INDEX('Прайс и заказ'!L:L,$J152)="","",INDEX('Прайс и заказ'!L:L,$J152)))</f>
      </c>
      <c r="I152" s="13" t="str">
        <f>IF($J152=0,"",IF(INDEX('Прайс и заказ'!M:M,$J152)="","",INDEX('Прайс и заказ'!M:M,$J152)))</f>
      </c>
      <c r="J152" t="str">
        <f>IFERROR(MATCH(144,'Прайс и заказ'!$N$7:$N$244,0)+6,0)</f>
      </c>
      <c r="L152" t="str">
        <f>IF($J152=0,"",IF(INDEX('Прайс и заказ'!Q:Q,$J152)="","",INDEX('Прайс и заказ'!Q:Q,$J152)))</f>
      </c>
    </row>
    <row r="153" spans="1:12" customHeight="1" ht="40">
      <c r="A153" s="13" t="str">
        <f>IF($J153=0,"",IFERROR(_xlfn.IMAGE(INDEX('Прайс и заказ'!$O:$O,$J153)),""))</f>
      </c>
      <c r="B153" s="61" t="str">
        <f>IF($J153=0,"",IF(INDEX('Прайс и заказ'!B:B,$J153)="","",INDEX('Прайс и заказ'!B:B,$J153)))</f>
      </c>
      <c r="C153" s="64" t="str">
        <f>IF($J153=0,"",IF(INDEX('Прайс и заказ'!C:C,$J153)="","",INDEX('Прайс и заказ'!C:C,$J153)))</f>
      </c>
      <c r="D153" s="64" t="str">
        <f>IF($J153=0,"",IF(INDEX('Прайс и заказ'!D:D,$J153)="","",INDEX('Прайс и заказ'!D:D,$J153)))</f>
      </c>
      <c r="E153" s="61" t="str">
        <f>IF($J153=0,"",IF(INDEX('Прайс и заказ'!F:F,$J153)="","",INDEX('Прайс и заказ'!F:F,$J153)))</f>
      </c>
      <c r="F153" s="62" t="str">
        <f>IF($J153=0,"",IF(INDEX('Прайс и заказ'!I:I,$J153)="","",INDEX('Прайс и заказ'!I:I,$J153)))</f>
      </c>
      <c r="G153" s="63" t="str">
        <f>IF($J153=0,"",IF(INDEX('Прайс и заказ'!K:K,$J153)="","",INDEX('Прайс и заказ'!K:K,$J153)))</f>
      </c>
      <c r="H153" s="62" t="str">
        <f>IF($J153=0,"",IF(INDEX('Прайс и заказ'!L:L,$J153)="","",INDEX('Прайс и заказ'!L:L,$J153)))</f>
      </c>
      <c r="I153" s="13" t="str">
        <f>IF($J153=0,"",IF(INDEX('Прайс и заказ'!M:M,$J153)="","",INDEX('Прайс и заказ'!M:M,$J153)))</f>
      </c>
      <c r="J153" t="str">
        <f>IFERROR(MATCH(145,'Прайс и заказ'!$N$7:$N$244,0)+6,0)</f>
      </c>
      <c r="L153" t="str">
        <f>IF($J153=0,"",IF(INDEX('Прайс и заказ'!Q:Q,$J153)="","",INDEX('Прайс и заказ'!Q:Q,$J153)))</f>
      </c>
    </row>
    <row r="154" spans="1:12" customHeight="1" ht="40">
      <c r="A154" s="13" t="str">
        <f>IF($J154=0,"",IFERROR(_xlfn.IMAGE(INDEX('Прайс и заказ'!$O:$O,$J154)),""))</f>
      </c>
      <c r="B154" s="61" t="str">
        <f>IF($J154=0,"",IF(INDEX('Прайс и заказ'!B:B,$J154)="","",INDEX('Прайс и заказ'!B:B,$J154)))</f>
      </c>
      <c r="C154" s="64" t="str">
        <f>IF($J154=0,"",IF(INDEX('Прайс и заказ'!C:C,$J154)="","",INDEX('Прайс и заказ'!C:C,$J154)))</f>
      </c>
      <c r="D154" s="64" t="str">
        <f>IF($J154=0,"",IF(INDEX('Прайс и заказ'!D:D,$J154)="","",INDEX('Прайс и заказ'!D:D,$J154)))</f>
      </c>
      <c r="E154" s="61" t="str">
        <f>IF($J154=0,"",IF(INDEX('Прайс и заказ'!F:F,$J154)="","",INDEX('Прайс и заказ'!F:F,$J154)))</f>
      </c>
      <c r="F154" s="62" t="str">
        <f>IF($J154=0,"",IF(INDEX('Прайс и заказ'!I:I,$J154)="","",INDEX('Прайс и заказ'!I:I,$J154)))</f>
      </c>
      <c r="G154" s="63" t="str">
        <f>IF($J154=0,"",IF(INDEX('Прайс и заказ'!K:K,$J154)="","",INDEX('Прайс и заказ'!K:K,$J154)))</f>
      </c>
      <c r="H154" s="62" t="str">
        <f>IF($J154=0,"",IF(INDEX('Прайс и заказ'!L:L,$J154)="","",INDEX('Прайс и заказ'!L:L,$J154)))</f>
      </c>
      <c r="I154" s="13" t="str">
        <f>IF($J154=0,"",IF(INDEX('Прайс и заказ'!M:M,$J154)="","",INDEX('Прайс и заказ'!M:M,$J154)))</f>
      </c>
      <c r="J154" t="str">
        <f>IFERROR(MATCH(146,'Прайс и заказ'!$N$7:$N$244,0)+6,0)</f>
      </c>
      <c r="L154" t="str">
        <f>IF($J154=0,"",IF(INDEX('Прайс и заказ'!Q:Q,$J154)="","",INDEX('Прайс и заказ'!Q:Q,$J154)))</f>
      </c>
    </row>
    <row r="155" spans="1:12" customHeight="1" ht="40">
      <c r="A155" s="13" t="str">
        <f>IF($J155=0,"",IFERROR(_xlfn.IMAGE(INDEX('Прайс и заказ'!$O:$O,$J155)),""))</f>
      </c>
      <c r="B155" s="61" t="str">
        <f>IF($J155=0,"",IF(INDEX('Прайс и заказ'!B:B,$J155)="","",INDEX('Прайс и заказ'!B:B,$J155)))</f>
      </c>
      <c r="C155" s="64" t="str">
        <f>IF($J155=0,"",IF(INDEX('Прайс и заказ'!C:C,$J155)="","",INDEX('Прайс и заказ'!C:C,$J155)))</f>
      </c>
      <c r="D155" s="64" t="str">
        <f>IF($J155=0,"",IF(INDEX('Прайс и заказ'!D:D,$J155)="","",INDEX('Прайс и заказ'!D:D,$J155)))</f>
      </c>
      <c r="E155" s="61" t="str">
        <f>IF($J155=0,"",IF(INDEX('Прайс и заказ'!F:F,$J155)="","",INDEX('Прайс и заказ'!F:F,$J155)))</f>
      </c>
      <c r="F155" s="62" t="str">
        <f>IF($J155=0,"",IF(INDEX('Прайс и заказ'!I:I,$J155)="","",INDEX('Прайс и заказ'!I:I,$J155)))</f>
      </c>
      <c r="G155" s="63" t="str">
        <f>IF($J155=0,"",IF(INDEX('Прайс и заказ'!K:K,$J155)="","",INDEX('Прайс и заказ'!K:K,$J155)))</f>
      </c>
      <c r="H155" s="62" t="str">
        <f>IF($J155=0,"",IF(INDEX('Прайс и заказ'!L:L,$J155)="","",INDEX('Прайс и заказ'!L:L,$J155)))</f>
      </c>
      <c r="I155" s="13" t="str">
        <f>IF($J155=0,"",IF(INDEX('Прайс и заказ'!M:M,$J155)="","",INDEX('Прайс и заказ'!M:M,$J155)))</f>
      </c>
      <c r="J155" t="str">
        <f>IFERROR(MATCH(147,'Прайс и заказ'!$N$7:$N$244,0)+6,0)</f>
      </c>
      <c r="L155" t="str">
        <f>IF($J155=0,"",IF(INDEX('Прайс и заказ'!Q:Q,$J155)="","",INDEX('Прайс и заказ'!Q:Q,$J155)))</f>
      </c>
    </row>
    <row r="156" spans="1:12" customHeight="1" ht="40">
      <c r="A156" s="13" t="str">
        <f>IF($J156=0,"",IFERROR(_xlfn.IMAGE(INDEX('Прайс и заказ'!$O:$O,$J156)),""))</f>
      </c>
      <c r="B156" s="61" t="str">
        <f>IF($J156=0,"",IF(INDEX('Прайс и заказ'!B:B,$J156)="","",INDEX('Прайс и заказ'!B:B,$J156)))</f>
      </c>
      <c r="C156" s="64" t="str">
        <f>IF($J156=0,"",IF(INDEX('Прайс и заказ'!C:C,$J156)="","",INDEX('Прайс и заказ'!C:C,$J156)))</f>
      </c>
      <c r="D156" s="64" t="str">
        <f>IF($J156=0,"",IF(INDEX('Прайс и заказ'!D:D,$J156)="","",INDEX('Прайс и заказ'!D:D,$J156)))</f>
      </c>
      <c r="E156" s="61" t="str">
        <f>IF($J156=0,"",IF(INDEX('Прайс и заказ'!F:F,$J156)="","",INDEX('Прайс и заказ'!F:F,$J156)))</f>
      </c>
      <c r="F156" s="62" t="str">
        <f>IF($J156=0,"",IF(INDEX('Прайс и заказ'!I:I,$J156)="","",INDEX('Прайс и заказ'!I:I,$J156)))</f>
      </c>
      <c r="G156" s="63" t="str">
        <f>IF($J156=0,"",IF(INDEX('Прайс и заказ'!K:K,$J156)="","",INDEX('Прайс и заказ'!K:K,$J156)))</f>
      </c>
      <c r="H156" s="62" t="str">
        <f>IF($J156=0,"",IF(INDEX('Прайс и заказ'!L:L,$J156)="","",INDEX('Прайс и заказ'!L:L,$J156)))</f>
      </c>
      <c r="I156" s="13" t="str">
        <f>IF($J156=0,"",IF(INDEX('Прайс и заказ'!M:M,$J156)="","",INDEX('Прайс и заказ'!M:M,$J156)))</f>
      </c>
      <c r="J156" t="str">
        <f>IFERROR(MATCH(148,'Прайс и заказ'!$N$7:$N$244,0)+6,0)</f>
      </c>
      <c r="L156" t="str">
        <f>IF($J156=0,"",IF(INDEX('Прайс и заказ'!Q:Q,$J156)="","",INDEX('Прайс и заказ'!Q:Q,$J156)))</f>
      </c>
    </row>
    <row r="157" spans="1:12" customHeight="1" ht="40">
      <c r="A157" s="13" t="str">
        <f>IF($J157=0,"",IFERROR(_xlfn.IMAGE(INDEX('Прайс и заказ'!$O:$O,$J157)),""))</f>
      </c>
      <c r="B157" s="61" t="str">
        <f>IF($J157=0,"",IF(INDEX('Прайс и заказ'!B:B,$J157)="","",INDEX('Прайс и заказ'!B:B,$J157)))</f>
      </c>
      <c r="C157" s="64" t="str">
        <f>IF($J157=0,"",IF(INDEX('Прайс и заказ'!C:C,$J157)="","",INDEX('Прайс и заказ'!C:C,$J157)))</f>
      </c>
      <c r="D157" s="64" t="str">
        <f>IF($J157=0,"",IF(INDEX('Прайс и заказ'!D:D,$J157)="","",INDEX('Прайс и заказ'!D:D,$J157)))</f>
      </c>
      <c r="E157" s="61" t="str">
        <f>IF($J157=0,"",IF(INDEX('Прайс и заказ'!F:F,$J157)="","",INDEX('Прайс и заказ'!F:F,$J157)))</f>
      </c>
      <c r="F157" s="62" t="str">
        <f>IF($J157=0,"",IF(INDEX('Прайс и заказ'!I:I,$J157)="","",INDEX('Прайс и заказ'!I:I,$J157)))</f>
      </c>
      <c r="G157" s="63" t="str">
        <f>IF($J157=0,"",IF(INDEX('Прайс и заказ'!K:K,$J157)="","",INDEX('Прайс и заказ'!K:K,$J157)))</f>
      </c>
      <c r="H157" s="62" t="str">
        <f>IF($J157=0,"",IF(INDEX('Прайс и заказ'!L:L,$J157)="","",INDEX('Прайс и заказ'!L:L,$J157)))</f>
      </c>
      <c r="I157" s="13" t="str">
        <f>IF($J157=0,"",IF(INDEX('Прайс и заказ'!M:M,$J157)="","",INDEX('Прайс и заказ'!M:M,$J157)))</f>
      </c>
      <c r="J157" t="str">
        <f>IFERROR(MATCH(149,'Прайс и заказ'!$N$7:$N$244,0)+6,0)</f>
      </c>
      <c r="L157" t="str">
        <f>IF($J157=0,"",IF(INDEX('Прайс и заказ'!Q:Q,$J157)="","",INDEX('Прайс и заказ'!Q:Q,$J157)))</f>
      </c>
    </row>
    <row r="158" spans="1:12" customHeight="1" ht="40">
      <c r="A158" s="13" t="str">
        <f>IF($J158=0,"",IFERROR(_xlfn.IMAGE(INDEX('Прайс и заказ'!$O:$O,$J158)),""))</f>
      </c>
      <c r="B158" s="61" t="str">
        <f>IF($J158=0,"",IF(INDEX('Прайс и заказ'!B:B,$J158)="","",INDEX('Прайс и заказ'!B:B,$J158)))</f>
      </c>
      <c r="C158" s="64" t="str">
        <f>IF($J158=0,"",IF(INDEX('Прайс и заказ'!C:C,$J158)="","",INDEX('Прайс и заказ'!C:C,$J158)))</f>
      </c>
      <c r="D158" s="64" t="str">
        <f>IF($J158=0,"",IF(INDEX('Прайс и заказ'!D:D,$J158)="","",INDEX('Прайс и заказ'!D:D,$J158)))</f>
      </c>
      <c r="E158" s="61" t="str">
        <f>IF($J158=0,"",IF(INDEX('Прайс и заказ'!F:F,$J158)="","",INDEX('Прайс и заказ'!F:F,$J158)))</f>
      </c>
      <c r="F158" s="62" t="str">
        <f>IF($J158=0,"",IF(INDEX('Прайс и заказ'!I:I,$J158)="","",INDEX('Прайс и заказ'!I:I,$J158)))</f>
      </c>
      <c r="G158" s="63" t="str">
        <f>IF($J158=0,"",IF(INDEX('Прайс и заказ'!K:K,$J158)="","",INDEX('Прайс и заказ'!K:K,$J158)))</f>
      </c>
      <c r="H158" s="62" t="str">
        <f>IF($J158=0,"",IF(INDEX('Прайс и заказ'!L:L,$J158)="","",INDEX('Прайс и заказ'!L:L,$J158)))</f>
      </c>
      <c r="I158" s="13" t="str">
        <f>IF($J158=0,"",IF(INDEX('Прайс и заказ'!M:M,$J158)="","",INDEX('Прайс и заказ'!M:M,$J158)))</f>
      </c>
      <c r="J158" t="str">
        <f>IFERROR(MATCH(150,'Прайс и заказ'!$N$7:$N$244,0)+6,0)</f>
      </c>
      <c r="L158" t="str">
        <f>IF($J158=0,"",IF(INDEX('Прайс и заказ'!Q:Q,$J158)="","",INDEX('Прайс и заказ'!Q:Q,$J158)))</f>
      </c>
    </row>
    <row r="159" spans="1:12" customHeight="1" ht="40">
      <c r="A159" s="13" t="str">
        <f>IF($J159=0,"",IFERROR(_xlfn.IMAGE(INDEX('Прайс и заказ'!$O:$O,$J159)),""))</f>
      </c>
      <c r="B159" s="61" t="str">
        <f>IF($J159=0,"",IF(INDEX('Прайс и заказ'!B:B,$J159)="","",INDEX('Прайс и заказ'!B:B,$J159)))</f>
      </c>
      <c r="C159" s="64" t="str">
        <f>IF($J159=0,"",IF(INDEX('Прайс и заказ'!C:C,$J159)="","",INDEX('Прайс и заказ'!C:C,$J159)))</f>
      </c>
      <c r="D159" s="64" t="str">
        <f>IF($J159=0,"",IF(INDEX('Прайс и заказ'!D:D,$J159)="","",INDEX('Прайс и заказ'!D:D,$J159)))</f>
      </c>
      <c r="E159" s="61" t="str">
        <f>IF($J159=0,"",IF(INDEX('Прайс и заказ'!F:F,$J159)="","",INDEX('Прайс и заказ'!F:F,$J159)))</f>
      </c>
      <c r="F159" s="62" t="str">
        <f>IF($J159=0,"",IF(INDEX('Прайс и заказ'!I:I,$J159)="","",INDEX('Прайс и заказ'!I:I,$J159)))</f>
      </c>
      <c r="G159" s="63" t="str">
        <f>IF($J159=0,"",IF(INDEX('Прайс и заказ'!K:K,$J159)="","",INDEX('Прайс и заказ'!K:K,$J159)))</f>
      </c>
      <c r="H159" s="62" t="str">
        <f>IF($J159=0,"",IF(INDEX('Прайс и заказ'!L:L,$J159)="","",INDEX('Прайс и заказ'!L:L,$J159)))</f>
      </c>
      <c r="I159" s="13" t="str">
        <f>IF($J159=0,"",IF(INDEX('Прайс и заказ'!M:M,$J159)="","",INDEX('Прайс и заказ'!M:M,$J159)))</f>
      </c>
      <c r="J159" t="str">
        <f>IFERROR(MATCH(151,'Прайс и заказ'!$N$7:$N$244,0)+6,0)</f>
      </c>
      <c r="L159" t="str">
        <f>IF($J159=0,"",IF(INDEX('Прайс и заказ'!Q:Q,$J159)="","",INDEX('Прайс и заказ'!Q:Q,$J159)))</f>
      </c>
    </row>
    <row r="160" spans="1:12" customHeight="1" ht="40">
      <c r="A160" s="13" t="str">
        <f>IF($J160=0,"",IFERROR(_xlfn.IMAGE(INDEX('Прайс и заказ'!$O:$O,$J160)),""))</f>
      </c>
      <c r="B160" s="61" t="str">
        <f>IF($J160=0,"",IF(INDEX('Прайс и заказ'!B:B,$J160)="","",INDEX('Прайс и заказ'!B:B,$J160)))</f>
      </c>
      <c r="C160" s="64" t="str">
        <f>IF($J160=0,"",IF(INDEX('Прайс и заказ'!C:C,$J160)="","",INDEX('Прайс и заказ'!C:C,$J160)))</f>
      </c>
      <c r="D160" s="64" t="str">
        <f>IF($J160=0,"",IF(INDEX('Прайс и заказ'!D:D,$J160)="","",INDEX('Прайс и заказ'!D:D,$J160)))</f>
      </c>
      <c r="E160" s="61" t="str">
        <f>IF($J160=0,"",IF(INDEX('Прайс и заказ'!F:F,$J160)="","",INDEX('Прайс и заказ'!F:F,$J160)))</f>
      </c>
      <c r="F160" s="62" t="str">
        <f>IF($J160=0,"",IF(INDEX('Прайс и заказ'!I:I,$J160)="","",INDEX('Прайс и заказ'!I:I,$J160)))</f>
      </c>
      <c r="G160" s="63" t="str">
        <f>IF($J160=0,"",IF(INDEX('Прайс и заказ'!K:K,$J160)="","",INDEX('Прайс и заказ'!K:K,$J160)))</f>
      </c>
      <c r="H160" s="62" t="str">
        <f>IF($J160=0,"",IF(INDEX('Прайс и заказ'!L:L,$J160)="","",INDEX('Прайс и заказ'!L:L,$J160)))</f>
      </c>
      <c r="I160" s="13" t="str">
        <f>IF($J160=0,"",IF(INDEX('Прайс и заказ'!M:M,$J160)="","",INDEX('Прайс и заказ'!M:M,$J160)))</f>
      </c>
      <c r="J160" t="str">
        <f>IFERROR(MATCH(152,'Прайс и заказ'!$N$7:$N$244,0)+6,0)</f>
      </c>
      <c r="L160" t="str">
        <f>IF($J160=0,"",IF(INDEX('Прайс и заказ'!Q:Q,$J160)="","",INDEX('Прайс и заказ'!Q:Q,$J160)))</f>
      </c>
    </row>
    <row r="161" spans="1:12" customHeight="1" ht="40">
      <c r="A161" s="13" t="str">
        <f>IF($J161=0,"",IFERROR(_xlfn.IMAGE(INDEX('Прайс и заказ'!$O:$O,$J161)),""))</f>
      </c>
      <c r="B161" s="61" t="str">
        <f>IF($J161=0,"",IF(INDEX('Прайс и заказ'!B:B,$J161)="","",INDEX('Прайс и заказ'!B:B,$J161)))</f>
      </c>
      <c r="C161" s="64" t="str">
        <f>IF($J161=0,"",IF(INDEX('Прайс и заказ'!C:C,$J161)="","",INDEX('Прайс и заказ'!C:C,$J161)))</f>
      </c>
      <c r="D161" s="64" t="str">
        <f>IF($J161=0,"",IF(INDEX('Прайс и заказ'!D:D,$J161)="","",INDEX('Прайс и заказ'!D:D,$J161)))</f>
      </c>
      <c r="E161" s="61" t="str">
        <f>IF($J161=0,"",IF(INDEX('Прайс и заказ'!F:F,$J161)="","",INDEX('Прайс и заказ'!F:F,$J161)))</f>
      </c>
      <c r="F161" s="62" t="str">
        <f>IF($J161=0,"",IF(INDEX('Прайс и заказ'!I:I,$J161)="","",INDEX('Прайс и заказ'!I:I,$J161)))</f>
      </c>
      <c r="G161" s="63" t="str">
        <f>IF($J161=0,"",IF(INDEX('Прайс и заказ'!K:K,$J161)="","",INDEX('Прайс и заказ'!K:K,$J161)))</f>
      </c>
      <c r="H161" s="62" t="str">
        <f>IF($J161=0,"",IF(INDEX('Прайс и заказ'!L:L,$J161)="","",INDEX('Прайс и заказ'!L:L,$J161)))</f>
      </c>
      <c r="I161" s="13" t="str">
        <f>IF($J161=0,"",IF(INDEX('Прайс и заказ'!M:M,$J161)="","",INDEX('Прайс и заказ'!M:M,$J161)))</f>
      </c>
      <c r="J161" t="str">
        <f>IFERROR(MATCH(153,'Прайс и заказ'!$N$7:$N$244,0)+6,0)</f>
      </c>
      <c r="L161" t="str">
        <f>IF($J161=0,"",IF(INDEX('Прайс и заказ'!Q:Q,$J161)="","",INDEX('Прайс и заказ'!Q:Q,$J161)))</f>
      </c>
    </row>
    <row r="162" spans="1:12" customHeight="1" ht="40">
      <c r="A162" s="13" t="str">
        <f>IF($J162=0,"",IFERROR(_xlfn.IMAGE(INDEX('Прайс и заказ'!$O:$O,$J162)),""))</f>
      </c>
      <c r="B162" s="61" t="str">
        <f>IF($J162=0,"",IF(INDEX('Прайс и заказ'!B:B,$J162)="","",INDEX('Прайс и заказ'!B:B,$J162)))</f>
      </c>
      <c r="C162" s="64" t="str">
        <f>IF($J162=0,"",IF(INDEX('Прайс и заказ'!C:C,$J162)="","",INDEX('Прайс и заказ'!C:C,$J162)))</f>
      </c>
      <c r="D162" s="64" t="str">
        <f>IF($J162=0,"",IF(INDEX('Прайс и заказ'!D:D,$J162)="","",INDEX('Прайс и заказ'!D:D,$J162)))</f>
      </c>
      <c r="E162" s="61" t="str">
        <f>IF($J162=0,"",IF(INDEX('Прайс и заказ'!F:F,$J162)="","",INDEX('Прайс и заказ'!F:F,$J162)))</f>
      </c>
      <c r="F162" s="62" t="str">
        <f>IF($J162=0,"",IF(INDEX('Прайс и заказ'!I:I,$J162)="","",INDEX('Прайс и заказ'!I:I,$J162)))</f>
      </c>
      <c r="G162" s="63" t="str">
        <f>IF($J162=0,"",IF(INDEX('Прайс и заказ'!K:K,$J162)="","",INDEX('Прайс и заказ'!K:K,$J162)))</f>
      </c>
      <c r="H162" s="62" t="str">
        <f>IF($J162=0,"",IF(INDEX('Прайс и заказ'!L:L,$J162)="","",INDEX('Прайс и заказ'!L:L,$J162)))</f>
      </c>
      <c r="I162" s="13" t="str">
        <f>IF($J162=0,"",IF(INDEX('Прайс и заказ'!M:M,$J162)="","",INDEX('Прайс и заказ'!M:M,$J162)))</f>
      </c>
      <c r="J162" t="str">
        <f>IFERROR(MATCH(154,'Прайс и заказ'!$N$7:$N$244,0)+6,0)</f>
      </c>
      <c r="L162" t="str">
        <f>IF($J162=0,"",IF(INDEX('Прайс и заказ'!Q:Q,$J162)="","",INDEX('Прайс и заказ'!Q:Q,$J162)))</f>
      </c>
    </row>
    <row r="163" spans="1:12" customHeight="1" ht="40">
      <c r="A163" s="13" t="str">
        <f>IF($J163=0,"",IFERROR(_xlfn.IMAGE(INDEX('Прайс и заказ'!$O:$O,$J163)),""))</f>
      </c>
      <c r="B163" s="61" t="str">
        <f>IF($J163=0,"",IF(INDEX('Прайс и заказ'!B:B,$J163)="","",INDEX('Прайс и заказ'!B:B,$J163)))</f>
      </c>
      <c r="C163" s="64" t="str">
        <f>IF($J163=0,"",IF(INDEX('Прайс и заказ'!C:C,$J163)="","",INDEX('Прайс и заказ'!C:C,$J163)))</f>
      </c>
      <c r="D163" s="64" t="str">
        <f>IF($J163=0,"",IF(INDEX('Прайс и заказ'!D:D,$J163)="","",INDEX('Прайс и заказ'!D:D,$J163)))</f>
      </c>
      <c r="E163" s="61" t="str">
        <f>IF($J163=0,"",IF(INDEX('Прайс и заказ'!F:F,$J163)="","",INDEX('Прайс и заказ'!F:F,$J163)))</f>
      </c>
      <c r="F163" s="62" t="str">
        <f>IF($J163=0,"",IF(INDEX('Прайс и заказ'!I:I,$J163)="","",INDEX('Прайс и заказ'!I:I,$J163)))</f>
      </c>
      <c r="G163" s="63" t="str">
        <f>IF($J163=0,"",IF(INDEX('Прайс и заказ'!K:K,$J163)="","",INDEX('Прайс и заказ'!K:K,$J163)))</f>
      </c>
      <c r="H163" s="62" t="str">
        <f>IF($J163=0,"",IF(INDEX('Прайс и заказ'!L:L,$J163)="","",INDEX('Прайс и заказ'!L:L,$J163)))</f>
      </c>
      <c r="I163" s="13" t="str">
        <f>IF($J163=0,"",IF(INDEX('Прайс и заказ'!M:M,$J163)="","",INDEX('Прайс и заказ'!M:M,$J163)))</f>
      </c>
      <c r="J163" t="str">
        <f>IFERROR(MATCH(155,'Прайс и заказ'!$N$7:$N$244,0)+6,0)</f>
      </c>
      <c r="L163" t="str">
        <f>IF($J163=0,"",IF(INDEX('Прайс и заказ'!Q:Q,$J163)="","",INDEX('Прайс и заказ'!Q:Q,$J163)))</f>
      </c>
    </row>
    <row r="164" spans="1:12" customHeight="1" ht="40">
      <c r="A164" s="13" t="str">
        <f>IF($J164=0,"",IFERROR(_xlfn.IMAGE(INDEX('Прайс и заказ'!$O:$O,$J164)),""))</f>
      </c>
      <c r="B164" s="61" t="str">
        <f>IF($J164=0,"",IF(INDEX('Прайс и заказ'!B:B,$J164)="","",INDEX('Прайс и заказ'!B:B,$J164)))</f>
      </c>
      <c r="C164" s="64" t="str">
        <f>IF($J164=0,"",IF(INDEX('Прайс и заказ'!C:C,$J164)="","",INDEX('Прайс и заказ'!C:C,$J164)))</f>
      </c>
      <c r="D164" s="64" t="str">
        <f>IF($J164=0,"",IF(INDEX('Прайс и заказ'!D:D,$J164)="","",INDEX('Прайс и заказ'!D:D,$J164)))</f>
      </c>
      <c r="E164" s="61" t="str">
        <f>IF($J164=0,"",IF(INDEX('Прайс и заказ'!F:F,$J164)="","",INDEX('Прайс и заказ'!F:F,$J164)))</f>
      </c>
      <c r="F164" s="62" t="str">
        <f>IF($J164=0,"",IF(INDEX('Прайс и заказ'!I:I,$J164)="","",INDEX('Прайс и заказ'!I:I,$J164)))</f>
      </c>
      <c r="G164" s="63" t="str">
        <f>IF($J164=0,"",IF(INDEX('Прайс и заказ'!K:K,$J164)="","",INDEX('Прайс и заказ'!K:K,$J164)))</f>
      </c>
      <c r="H164" s="62" t="str">
        <f>IF($J164=0,"",IF(INDEX('Прайс и заказ'!L:L,$J164)="","",INDEX('Прайс и заказ'!L:L,$J164)))</f>
      </c>
      <c r="I164" s="13" t="str">
        <f>IF($J164=0,"",IF(INDEX('Прайс и заказ'!M:M,$J164)="","",INDEX('Прайс и заказ'!M:M,$J164)))</f>
      </c>
      <c r="J164" t="str">
        <f>IFERROR(MATCH(156,'Прайс и заказ'!$N$7:$N$244,0)+6,0)</f>
      </c>
      <c r="L164" t="str">
        <f>IF($J164=0,"",IF(INDEX('Прайс и заказ'!Q:Q,$J164)="","",INDEX('Прайс и заказ'!Q:Q,$J164)))</f>
      </c>
    </row>
    <row r="165" spans="1:12" customHeight="1" ht="40">
      <c r="A165" s="13" t="str">
        <f>IF($J165=0,"",IFERROR(_xlfn.IMAGE(INDEX('Прайс и заказ'!$O:$O,$J165)),""))</f>
      </c>
      <c r="B165" s="61" t="str">
        <f>IF($J165=0,"",IF(INDEX('Прайс и заказ'!B:B,$J165)="","",INDEX('Прайс и заказ'!B:B,$J165)))</f>
      </c>
      <c r="C165" s="64" t="str">
        <f>IF($J165=0,"",IF(INDEX('Прайс и заказ'!C:C,$J165)="","",INDEX('Прайс и заказ'!C:C,$J165)))</f>
      </c>
      <c r="D165" s="64" t="str">
        <f>IF($J165=0,"",IF(INDEX('Прайс и заказ'!D:D,$J165)="","",INDEX('Прайс и заказ'!D:D,$J165)))</f>
      </c>
      <c r="E165" s="61" t="str">
        <f>IF($J165=0,"",IF(INDEX('Прайс и заказ'!F:F,$J165)="","",INDEX('Прайс и заказ'!F:F,$J165)))</f>
      </c>
      <c r="F165" s="62" t="str">
        <f>IF($J165=0,"",IF(INDEX('Прайс и заказ'!I:I,$J165)="","",INDEX('Прайс и заказ'!I:I,$J165)))</f>
      </c>
      <c r="G165" s="63" t="str">
        <f>IF($J165=0,"",IF(INDEX('Прайс и заказ'!K:K,$J165)="","",INDEX('Прайс и заказ'!K:K,$J165)))</f>
      </c>
      <c r="H165" s="62" t="str">
        <f>IF($J165=0,"",IF(INDEX('Прайс и заказ'!L:L,$J165)="","",INDEX('Прайс и заказ'!L:L,$J165)))</f>
      </c>
      <c r="I165" s="13" t="str">
        <f>IF($J165=0,"",IF(INDEX('Прайс и заказ'!M:M,$J165)="","",INDEX('Прайс и заказ'!M:M,$J165)))</f>
      </c>
      <c r="J165" t="str">
        <f>IFERROR(MATCH(157,'Прайс и заказ'!$N$7:$N$244,0)+6,0)</f>
      </c>
      <c r="L165" t="str">
        <f>IF($J165=0,"",IF(INDEX('Прайс и заказ'!Q:Q,$J165)="","",INDEX('Прайс и заказ'!Q:Q,$J165)))</f>
      </c>
    </row>
    <row r="166" spans="1:12" customHeight="1" ht="40">
      <c r="A166" s="13" t="str">
        <f>IF($J166=0,"",IFERROR(_xlfn.IMAGE(INDEX('Прайс и заказ'!$O:$O,$J166)),""))</f>
      </c>
      <c r="B166" s="61" t="str">
        <f>IF($J166=0,"",IF(INDEX('Прайс и заказ'!B:B,$J166)="","",INDEX('Прайс и заказ'!B:B,$J166)))</f>
      </c>
      <c r="C166" s="64" t="str">
        <f>IF($J166=0,"",IF(INDEX('Прайс и заказ'!C:C,$J166)="","",INDEX('Прайс и заказ'!C:C,$J166)))</f>
      </c>
      <c r="D166" s="64" t="str">
        <f>IF($J166=0,"",IF(INDEX('Прайс и заказ'!D:D,$J166)="","",INDEX('Прайс и заказ'!D:D,$J166)))</f>
      </c>
      <c r="E166" s="61" t="str">
        <f>IF($J166=0,"",IF(INDEX('Прайс и заказ'!F:F,$J166)="","",INDEX('Прайс и заказ'!F:F,$J166)))</f>
      </c>
      <c r="F166" s="62" t="str">
        <f>IF($J166=0,"",IF(INDEX('Прайс и заказ'!I:I,$J166)="","",INDEX('Прайс и заказ'!I:I,$J166)))</f>
      </c>
      <c r="G166" s="63" t="str">
        <f>IF($J166=0,"",IF(INDEX('Прайс и заказ'!K:K,$J166)="","",INDEX('Прайс и заказ'!K:K,$J166)))</f>
      </c>
      <c r="H166" s="62" t="str">
        <f>IF($J166=0,"",IF(INDEX('Прайс и заказ'!L:L,$J166)="","",INDEX('Прайс и заказ'!L:L,$J166)))</f>
      </c>
      <c r="I166" s="13" t="str">
        <f>IF($J166=0,"",IF(INDEX('Прайс и заказ'!M:M,$J166)="","",INDEX('Прайс и заказ'!M:M,$J166)))</f>
      </c>
      <c r="J166" t="str">
        <f>IFERROR(MATCH(158,'Прайс и заказ'!$N$7:$N$244,0)+6,0)</f>
      </c>
      <c r="L166" t="str">
        <f>IF($J166=0,"",IF(INDEX('Прайс и заказ'!Q:Q,$J166)="","",INDEX('Прайс и заказ'!Q:Q,$J166)))</f>
      </c>
    </row>
    <row r="167" spans="1:12" customHeight="1" ht="40">
      <c r="A167" s="13" t="str">
        <f>IF($J167=0,"",IFERROR(_xlfn.IMAGE(INDEX('Прайс и заказ'!$O:$O,$J167)),""))</f>
      </c>
      <c r="B167" s="61" t="str">
        <f>IF($J167=0,"",IF(INDEX('Прайс и заказ'!B:B,$J167)="","",INDEX('Прайс и заказ'!B:B,$J167)))</f>
      </c>
      <c r="C167" s="64" t="str">
        <f>IF($J167=0,"",IF(INDEX('Прайс и заказ'!C:C,$J167)="","",INDEX('Прайс и заказ'!C:C,$J167)))</f>
      </c>
      <c r="D167" s="64" t="str">
        <f>IF($J167=0,"",IF(INDEX('Прайс и заказ'!D:D,$J167)="","",INDEX('Прайс и заказ'!D:D,$J167)))</f>
      </c>
      <c r="E167" s="61" t="str">
        <f>IF($J167=0,"",IF(INDEX('Прайс и заказ'!F:F,$J167)="","",INDEX('Прайс и заказ'!F:F,$J167)))</f>
      </c>
      <c r="F167" s="62" t="str">
        <f>IF($J167=0,"",IF(INDEX('Прайс и заказ'!I:I,$J167)="","",INDEX('Прайс и заказ'!I:I,$J167)))</f>
      </c>
      <c r="G167" s="63" t="str">
        <f>IF($J167=0,"",IF(INDEX('Прайс и заказ'!K:K,$J167)="","",INDEX('Прайс и заказ'!K:K,$J167)))</f>
      </c>
      <c r="H167" s="62" t="str">
        <f>IF($J167=0,"",IF(INDEX('Прайс и заказ'!L:L,$J167)="","",INDEX('Прайс и заказ'!L:L,$J167)))</f>
      </c>
      <c r="I167" s="13" t="str">
        <f>IF($J167=0,"",IF(INDEX('Прайс и заказ'!M:M,$J167)="","",INDEX('Прайс и заказ'!M:M,$J167)))</f>
      </c>
      <c r="J167" t="str">
        <f>IFERROR(MATCH(159,'Прайс и заказ'!$N$7:$N$244,0)+6,0)</f>
      </c>
      <c r="L167" t="str">
        <f>IF($J167=0,"",IF(INDEX('Прайс и заказ'!Q:Q,$J167)="","",INDEX('Прайс и заказ'!Q:Q,$J167)))</f>
      </c>
    </row>
    <row r="168" spans="1:12" customHeight="1" ht="40">
      <c r="A168" s="13" t="str">
        <f>IF($J168=0,"",IFERROR(_xlfn.IMAGE(INDEX('Прайс и заказ'!$O:$O,$J168)),""))</f>
      </c>
      <c r="B168" s="61" t="str">
        <f>IF($J168=0,"",IF(INDEX('Прайс и заказ'!B:B,$J168)="","",INDEX('Прайс и заказ'!B:B,$J168)))</f>
      </c>
      <c r="C168" s="64" t="str">
        <f>IF($J168=0,"",IF(INDEX('Прайс и заказ'!C:C,$J168)="","",INDEX('Прайс и заказ'!C:C,$J168)))</f>
      </c>
      <c r="D168" s="64" t="str">
        <f>IF($J168=0,"",IF(INDEX('Прайс и заказ'!D:D,$J168)="","",INDEX('Прайс и заказ'!D:D,$J168)))</f>
      </c>
      <c r="E168" s="61" t="str">
        <f>IF($J168=0,"",IF(INDEX('Прайс и заказ'!F:F,$J168)="","",INDEX('Прайс и заказ'!F:F,$J168)))</f>
      </c>
      <c r="F168" s="62" t="str">
        <f>IF($J168=0,"",IF(INDEX('Прайс и заказ'!I:I,$J168)="","",INDEX('Прайс и заказ'!I:I,$J168)))</f>
      </c>
      <c r="G168" s="63" t="str">
        <f>IF($J168=0,"",IF(INDEX('Прайс и заказ'!K:K,$J168)="","",INDEX('Прайс и заказ'!K:K,$J168)))</f>
      </c>
      <c r="H168" s="62" t="str">
        <f>IF($J168=0,"",IF(INDEX('Прайс и заказ'!L:L,$J168)="","",INDEX('Прайс и заказ'!L:L,$J168)))</f>
      </c>
      <c r="I168" s="13" t="str">
        <f>IF($J168=0,"",IF(INDEX('Прайс и заказ'!M:M,$J168)="","",INDEX('Прайс и заказ'!M:M,$J168)))</f>
      </c>
      <c r="J168" t="str">
        <f>IFERROR(MATCH(160,'Прайс и заказ'!$N$7:$N$244,0)+6,0)</f>
      </c>
      <c r="L168" t="str">
        <f>IF($J168=0,"",IF(INDEX('Прайс и заказ'!Q:Q,$J168)="","",INDEX('Прайс и заказ'!Q:Q,$J168)))</f>
      </c>
    </row>
    <row r="169" spans="1:12" customHeight="1" ht="40">
      <c r="A169" s="13" t="str">
        <f>IF($J169=0,"",IFERROR(_xlfn.IMAGE(INDEX('Прайс и заказ'!$O:$O,$J169)),""))</f>
      </c>
      <c r="B169" s="61" t="str">
        <f>IF($J169=0,"",IF(INDEX('Прайс и заказ'!B:B,$J169)="","",INDEX('Прайс и заказ'!B:B,$J169)))</f>
      </c>
      <c r="C169" s="64" t="str">
        <f>IF($J169=0,"",IF(INDEX('Прайс и заказ'!C:C,$J169)="","",INDEX('Прайс и заказ'!C:C,$J169)))</f>
      </c>
      <c r="D169" s="64" t="str">
        <f>IF($J169=0,"",IF(INDEX('Прайс и заказ'!D:D,$J169)="","",INDEX('Прайс и заказ'!D:D,$J169)))</f>
      </c>
      <c r="E169" s="61" t="str">
        <f>IF($J169=0,"",IF(INDEX('Прайс и заказ'!F:F,$J169)="","",INDEX('Прайс и заказ'!F:F,$J169)))</f>
      </c>
      <c r="F169" s="62" t="str">
        <f>IF($J169=0,"",IF(INDEX('Прайс и заказ'!I:I,$J169)="","",INDEX('Прайс и заказ'!I:I,$J169)))</f>
      </c>
      <c r="G169" s="63" t="str">
        <f>IF($J169=0,"",IF(INDEX('Прайс и заказ'!K:K,$J169)="","",INDEX('Прайс и заказ'!K:K,$J169)))</f>
      </c>
      <c r="H169" s="62" t="str">
        <f>IF($J169=0,"",IF(INDEX('Прайс и заказ'!L:L,$J169)="","",INDEX('Прайс и заказ'!L:L,$J169)))</f>
      </c>
      <c r="I169" s="13" t="str">
        <f>IF($J169=0,"",IF(INDEX('Прайс и заказ'!M:M,$J169)="","",INDEX('Прайс и заказ'!M:M,$J169)))</f>
      </c>
      <c r="J169" t="str">
        <f>IFERROR(MATCH(161,'Прайс и заказ'!$N$7:$N$244,0)+6,0)</f>
      </c>
      <c r="L169" t="str">
        <f>IF($J169=0,"",IF(INDEX('Прайс и заказ'!Q:Q,$J169)="","",INDEX('Прайс и заказ'!Q:Q,$J169)))</f>
      </c>
    </row>
    <row r="170" spans="1:12" customHeight="1" ht="40">
      <c r="A170" s="13" t="str">
        <f>IF($J170=0,"",IFERROR(_xlfn.IMAGE(INDEX('Прайс и заказ'!$O:$O,$J170)),""))</f>
      </c>
      <c r="B170" s="61" t="str">
        <f>IF($J170=0,"",IF(INDEX('Прайс и заказ'!B:B,$J170)="","",INDEX('Прайс и заказ'!B:B,$J170)))</f>
      </c>
      <c r="C170" s="64" t="str">
        <f>IF($J170=0,"",IF(INDEX('Прайс и заказ'!C:C,$J170)="","",INDEX('Прайс и заказ'!C:C,$J170)))</f>
      </c>
      <c r="D170" s="64" t="str">
        <f>IF($J170=0,"",IF(INDEX('Прайс и заказ'!D:D,$J170)="","",INDEX('Прайс и заказ'!D:D,$J170)))</f>
      </c>
      <c r="E170" s="61" t="str">
        <f>IF($J170=0,"",IF(INDEX('Прайс и заказ'!F:F,$J170)="","",INDEX('Прайс и заказ'!F:F,$J170)))</f>
      </c>
      <c r="F170" s="62" t="str">
        <f>IF($J170=0,"",IF(INDEX('Прайс и заказ'!I:I,$J170)="","",INDEX('Прайс и заказ'!I:I,$J170)))</f>
      </c>
      <c r="G170" s="63" t="str">
        <f>IF($J170=0,"",IF(INDEX('Прайс и заказ'!K:K,$J170)="","",INDEX('Прайс и заказ'!K:K,$J170)))</f>
      </c>
      <c r="H170" s="62" t="str">
        <f>IF($J170=0,"",IF(INDEX('Прайс и заказ'!L:L,$J170)="","",INDEX('Прайс и заказ'!L:L,$J170)))</f>
      </c>
      <c r="I170" s="13" t="str">
        <f>IF($J170=0,"",IF(INDEX('Прайс и заказ'!M:M,$J170)="","",INDEX('Прайс и заказ'!M:M,$J170)))</f>
      </c>
      <c r="J170" t="str">
        <f>IFERROR(MATCH(162,'Прайс и заказ'!$N$7:$N$244,0)+6,0)</f>
      </c>
      <c r="L170" t="str">
        <f>IF($J170=0,"",IF(INDEX('Прайс и заказ'!Q:Q,$J170)="","",INDEX('Прайс и заказ'!Q:Q,$J170)))</f>
      </c>
    </row>
    <row r="171" spans="1:12" customHeight="1" ht="40">
      <c r="A171" s="13" t="str">
        <f>IF($J171=0,"",IFERROR(_xlfn.IMAGE(INDEX('Прайс и заказ'!$O:$O,$J171)),""))</f>
      </c>
      <c r="B171" s="61" t="str">
        <f>IF($J171=0,"",IF(INDEX('Прайс и заказ'!B:B,$J171)="","",INDEX('Прайс и заказ'!B:B,$J171)))</f>
      </c>
      <c r="C171" s="64" t="str">
        <f>IF($J171=0,"",IF(INDEX('Прайс и заказ'!C:C,$J171)="","",INDEX('Прайс и заказ'!C:C,$J171)))</f>
      </c>
      <c r="D171" s="64" t="str">
        <f>IF($J171=0,"",IF(INDEX('Прайс и заказ'!D:D,$J171)="","",INDEX('Прайс и заказ'!D:D,$J171)))</f>
      </c>
      <c r="E171" s="61" t="str">
        <f>IF($J171=0,"",IF(INDEX('Прайс и заказ'!F:F,$J171)="","",INDEX('Прайс и заказ'!F:F,$J171)))</f>
      </c>
      <c r="F171" s="62" t="str">
        <f>IF($J171=0,"",IF(INDEX('Прайс и заказ'!I:I,$J171)="","",INDEX('Прайс и заказ'!I:I,$J171)))</f>
      </c>
      <c r="G171" s="63" t="str">
        <f>IF($J171=0,"",IF(INDEX('Прайс и заказ'!K:K,$J171)="","",INDEX('Прайс и заказ'!K:K,$J171)))</f>
      </c>
      <c r="H171" s="62" t="str">
        <f>IF($J171=0,"",IF(INDEX('Прайс и заказ'!L:L,$J171)="","",INDEX('Прайс и заказ'!L:L,$J171)))</f>
      </c>
      <c r="I171" s="13" t="str">
        <f>IF($J171=0,"",IF(INDEX('Прайс и заказ'!M:M,$J171)="","",INDEX('Прайс и заказ'!M:M,$J171)))</f>
      </c>
      <c r="J171" t="str">
        <f>IFERROR(MATCH(163,'Прайс и заказ'!$N$7:$N$244,0)+6,0)</f>
      </c>
      <c r="L171" t="str">
        <f>IF($J171=0,"",IF(INDEX('Прайс и заказ'!Q:Q,$J171)="","",INDEX('Прайс и заказ'!Q:Q,$J171)))</f>
      </c>
    </row>
    <row r="172" spans="1:12" customHeight="1" ht="40">
      <c r="A172" s="13" t="str">
        <f>IF($J172=0,"",IFERROR(_xlfn.IMAGE(INDEX('Прайс и заказ'!$O:$O,$J172)),""))</f>
      </c>
      <c r="B172" s="61" t="str">
        <f>IF($J172=0,"",IF(INDEX('Прайс и заказ'!B:B,$J172)="","",INDEX('Прайс и заказ'!B:B,$J172)))</f>
      </c>
      <c r="C172" s="64" t="str">
        <f>IF($J172=0,"",IF(INDEX('Прайс и заказ'!C:C,$J172)="","",INDEX('Прайс и заказ'!C:C,$J172)))</f>
      </c>
      <c r="D172" s="64" t="str">
        <f>IF($J172=0,"",IF(INDEX('Прайс и заказ'!D:D,$J172)="","",INDEX('Прайс и заказ'!D:D,$J172)))</f>
      </c>
      <c r="E172" s="61" t="str">
        <f>IF($J172=0,"",IF(INDEX('Прайс и заказ'!F:F,$J172)="","",INDEX('Прайс и заказ'!F:F,$J172)))</f>
      </c>
      <c r="F172" s="62" t="str">
        <f>IF($J172=0,"",IF(INDEX('Прайс и заказ'!I:I,$J172)="","",INDEX('Прайс и заказ'!I:I,$J172)))</f>
      </c>
      <c r="G172" s="63" t="str">
        <f>IF($J172=0,"",IF(INDEX('Прайс и заказ'!K:K,$J172)="","",INDEX('Прайс и заказ'!K:K,$J172)))</f>
      </c>
      <c r="H172" s="62" t="str">
        <f>IF($J172=0,"",IF(INDEX('Прайс и заказ'!L:L,$J172)="","",INDEX('Прайс и заказ'!L:L,$J172)))</f>
      </c>
      <c r="I172" s="13" t="str">
        <f>IF($J172=0,"",IF(INDEX('Прайс и заказ'!M:M,$J172)="","",INDEX('Прайс и заказ'!M:M,$J172)))</f>
      </c>
      <c r="J172" t="str">
        <f>IFERROR(MATCH(164,'Прайс и заказ'!$N$7:$N$244,0)+6,0)</f>
      </c>
      <c r="L172" t="str">
        <f>IF($J172=0,"",IF(INDEX('Прайс и заказ'!Q:Q,$J172)="","",INDEX('Прайс и заказ'!Q:Q,$J172)))</f>
      </c>
    </row>
    <row r="173" spans="1:12" customHeight="1" ht="40">
      <c r="A173" s="13" t="str">
        <f>IF($J173=0,"",IFERROR(_xlfn.IMAGE(INDEX('Прайс и заказ'!$O:$O,$J173)),""))</f>
      </c>
      <c r="B173" s="61" t="str">
        <f>IF($J173=0,"",IF(INDEX('Прайс и заказ'!B:B,$J173)="","",INDEX('Прайс и заказ'!B:B,$J173)))</f>
      </c>
      <c r="C173" s="64" t="str">
        <f>IF($J173=0,"",IF(INDEX('Прайс и заказ'!C:C,$J173)="","",INDEX('Прайс и заказ'!C:C,$J173)))</f>
      </c>
      <c r="D173" s="64" t="str">
        <f>IF($J173=0,"",IF(INDEX('Прайс и заказ'!D:D,$J173)="","",INDEX('Прайс и заказ'!D:D,$J173)))</f>
      </c>
      <c r="E173" s="61" t="str">
        <f>IF($J173=0,"",IF(INDEX('Прайс и заказ'!F:F,$J173)="","",INDEX('Прайс и заказ'!F:F,$J173)))</f>
      </c>
      <c r="F173" s="62" t="str">
        <f>IF($J173=0,"",IF(INDEX('Прайс и заказ'!I:I,$J173)="","",INDEX('Прайс и заказ'!I:I,$J173)))</f>
      </c>
      <c r="G173" s="63" t="str">
        <f>IF($J173=0,"",IF(INDEX('Прайс и заказ'!K:K,$J173)="","",INDEX('Прайс и заказ'!K:K,$J173)))</f>
      </c>
      <c r="H173" s="62" t="str">
        <f>IF($J173=0,"",IF(INDEX('Прайс и заказ'!L:L,$J173)="","",INDEX('Прайс и заказ'!L:L,$J173)))</f>
      </c>
      <c r="I173" s="13" t="str">
        <f>IF($J173=0,"",IF(INDEX('Прайс и заказ'!M:M,$J173)="","",INDEX('Прайс и заказ'!M:M,$J173)))</f>
      </c>
      <c r="J173" t="str">
        <f>IFERROR(MATCH(165,'Прайс и заказ'!$N$7:$N$244,0)+6,0)</f>
      </c>
      <c r="L173" t="str">
        <f>IF($J173=0,"",IF(INDEX('Прайс и заказ'!Q:Q,$J173)="","",INDEX('Прайс и заказ'!Q:Q,$J173)))</f>
      </c>
    </row>
    <row r="174" spans="1:12" customHeight="1" ht="40">
      <c r="A174" s="13" t="str">
        <f>IF($J174=0,"",IFERROR(_xlfn.IMAGE(INDEX('Прайс и заказ'!$O:$O,$J174)),""))</f>
      </c>
      <c r="B174" s="61" t="str">
        <f>IF($J174=0,"",IF(INDEX('Прайс и заказ'!B:B,$J174)="","",INDEX('Прайс и заказ'!B:B,$J174)))</f>
      </c>
      <c r="C174" s="64" t="str">
        <f>IF($J174=0,"",IF(INDEX('Прайс и заказ'!C:C,$J174)="","",INDEX('Прайс и заказ'!C:C,$J174)))</f>
      </c>
      <c r="D174" s="64" t="str">
        <f>IF($J174=0,"",IF(INDEX('Прайс и заказ'!D:D,$J174)="","",INDEX('Прайс и заказ'!D:D,$J174)))</f>
      </c>
      <c r="E174" s="61" t="str">
        <f>IF($J174=0,"",IF(INDEX('Прайс и заказ'!F:F,$J174)="","",INDEX('Прайс и заказ'!F:F,$J174)))</f>
      </c>
      <c r="F174" s="62" t="str">
        <f>IF($J174=0,"",IF(INDEX('Прайс и заказ'!I:I,$J174)="","",INDEX('Прайс и заказ'!I:I,$J174)))</f>
      </c>
      <c r="G174" s="63" t="str">
        <f>IF($J174=0,"",IF(INDEX('Прайс и заказ'!K:K,$J174)="","",INDEX('Прайс и заказ'!K:K,$J174)))</f>
      </c>
      <c r="H174" s="62" t="str">
        <f>IF($J174=0,"",IF(INDEX('Прайс и заказ'!L:L,$J174)="","",INDEX('Прайс и заказ'!L:L,$J174)))</f>
      </c>
      <c r="I174" s="13" t="str">
        <f>IF($J174=0,"",IF(INDEX('Прайс и заказ'!M:M,$J174)="","",INDEX('Прайс и заказ'!M:M,$J174)))</f>
      </c>
      <c r="J174" t="str">
        <f>IFERROR(MATCH(166,'Прайс и заказ'!$N$7:$N$244,0)+6,0)</f>
      </c>
      <c r="L174" t="str">
        <f>IF($J174=0,"",IF(INDEX('Прайс и заказ'!Q:Q,$J174)="","",INDEX('Прайс и заказ'!Q:Q,$J174)))</f>
      </c>
    </row>
    <row r="175" spans="1:12" customHeight="1" ht="40">
      <c r="A175" s="13" t="str">
        <f>IF($J175=0,"",IFERROR(_xlfn.IMAGE(INDEX('Прайс и заказ'!$O:$O,$J175)),""))</f>
      </c>
      <c r="B175" s="61" t="str">
        <f>IF($J175=0,"",IF(INDEX('Прайс и заказ'!B:B,$J175)="","",INDEX('Прайс и заказ'!B:B,$J175)))</f>
      </c>
      <c r="C175" s="64" t="str">
        <f>IF($J175=0,"",IF(INDEX('Прайс и заказ'!C:C,$J175)="","",INDEX('Прайс и заказ'!C:C,$J175)))</f>
      </c>
      <c r="D175" s="64" t="str">
        <f>IF($J175=0,"",IF(INDEX('Прайс и заказ'!D:D,$J175)="","",INDEX('Прайс и заказ'!D:D,$J175)))</f>
      </c>
      <c r="E175" s="61" t="str">
        <f>IF($J175=0,"",IF(INDEX('Прайс и заказ'!F:F,$J175)="","",INDEX('Прайс и заказ'!F:F,$J175)))</f>
      </c>
      <c r="F175" s="62" t="str">
        <f>IF($J175=0,"",IF(INDEX('Прайс и заказ'!I:I,$J175)="","",INDEX('Прайс и заказ'!I:I,$J175)))</f>
      </c>
      <c r="G175" s="63" t="str">
        <f>IF($J175=0,"",IF(INDEX('Прайс и заказ'!K:K,$J175)="","",INDEX('Прайс и заказ'!K:K,$J175)))</f>
      </c>
      <c r="H175" s="62" t="str">
        <f>IF($J175=0,"",IF(INDEX('Прайс и заказ'!L:L,$J175)="","",INDEX('Прайс и заказ'!L:L,$J175)))</f>
      </c>
      <c r="I175" s="13" t="str">
        <f>IF($J175=0,"",IF(INDEX('Прайс и заказ'!M:M,$J175)="","",INDEX('Прайс и заказ'!M:M,$J175)))</f>
      </c>
      <c r="J175" t="str">
        <f>IFERROR(MATCH(167,'Прайс и заказ'!$N$7:$N$244,0)+6,0)</f>
      </c>
      <c r="L175" t="str">
        <f>IF($J175=0,"",IF(INDEX('Прайс и заказ'!Q:Q,$J175)="","",INDEX('Прайс и заказ'!Q:Q,$J175)))</f>
      </c>
    </row>
    <row r="176" spans="1:12" customHeight="1" ht="40">
      <c r="A176" s="13" t="str">
        <f>IF($J176=0,"",IFERROR(_xlfn.IMAGE(INDEX('Прайс и заказ'!$O:$O,$J176)),""))</f>
      </c>
      <c r="B176" s="61" t="str">
        <f>IF($J176=0,"",IF(INDEX('Прайс и заказ'!B:B,$J176)="","",INDEX('Прайс и заказ'!B:B,$J176)))</f>
      </c>
      <c r="C176" s="64" t="str">
        <f>IF($J176=0,"",IF(INDEX('Прайс и заказ'!C:C,$J176)="","",INDEX('Прайс и заказ'!C:C,$J176)))</f>
      </c>
      <c r="D176" s="64" t="str">
        <f>IF($J176=0,"",IF(INDEX('Прайс и заказ'!D:D,$J176)="","",INDEX('Прайс и заказ'!D:D,$J176)))</f>
      </c>
      <c r="E176" s="61" t="str">
        <f>IF($J176=0,"",IF(INDEX('Прайс и заказ'!F:F,$J176)="","",INDEX('Прайс и заказ'!F:F,$J176)))</f>
      </c>
      <c r="F176" s="62" t="str">
        <f>IF($J176=0,"",IF(INDEX('Прайс и заказ'!I:I,$J176)="","",INDEX('Прайс и заказ'!I:I,$J176)))</f>
      </c>
      <c r="G176" s="63" t="str">
        <f>IF($J176=0,"",IF(INDEX('Прайс и заказ'!K:K,$J176)="","",INDEX('Прайс и заказ'!K:K,$J176)))</f>
      </c>
      <c r="H176" s="62" t="str">
        <f>IF($J176=0,"",IF(INDEX('Прайс и заказ'!L:L,$J176)="","",INDEX('Прайс и заказ'!L:L,$J176)))</f>
      </c>
      <c r="I176" s="13" t="str">
        <f>IF($J176=0,"",IF(INDEX('Прайс и заказ'!M:M,$J176)="","",INDEX('Прайс и заказ'!M:M,$J176)))</f>
      </c>
      <c r="J176" t="str">
        <f>IFERROR(MATCH(168,'Прайс и заказ'!$N$7:$N$244,0)+6,0)</f>
      </c>
      <c r="L176" t="str">
        <f>IF($J176=0,"",IF(INDEX('Прайс и заказ'!Q:Q,$J176)="","",INDEX('Прайс и заказ'!Q:Q,$J176)))</f>
      </c>
    </row>
    <row r="177" spans="1:12" customHeight="1" ht="40">
      <c r="A177" s="13" t="str">
        <f>IF($J177=0,"",IFERROR(_xlfn.IMAGE(INDEX('Прайс и заказ'!$O:$O,$J177)),""))</f>
      </c>
      <c r="B177" s="61" t="str">
        <f>IF($J177=0,"",IF(INDEX('Прайс и заказ'!B:B,$J177)="","",INDEX('Прайс и заказ'!B:B,$J177)))</f>
      </c>
      <c r="C177" s="64" t="str">
        <f>IF($J177=0,"",IF(INDEX('Прайс и заказ'!C:C,$J177)="","",INDEX('Прайс и заказ'!C:C,$J177)))</f>
      </c>
      <c r="D177" s="64" t="str">
        <f>IF($J177=0,"",IF(INDEX('Прайс и заказ'!D:D,$J177)="","",INDEX('Прайс и заказ'!D:D,$J177)))</f>
      </c>
      <c r="E177" s="61" t="str">
        <f>IF($J177=0,"",IF(INDEX('Прайс и заказ'!F:F,$J177)="","",INDEX('Прайс и заказ'!F:F,$J177)))</f>
      </c>
      <c r="F177" s="62" t="str">
        <f>IF($J177=0,"",IF(INDEX('Прайс и заказ'!I:I,$J177)="","",INDEX('Прайс и заказ'!I:I,$J177)))</f>
      </c>
      <c r="G177" s="63" t="str">
        <f>IF($J177=0,"",IF(INDEX('Прайс и заказ'!K:K,$J177)="","",INDEX('Прайс и заказ'!K:K,$J177)))</f>
      </c>
      <c r="H177" s="62" t="str">
        <f>IF($J177=0,"",IF(INDEX('Прайс и заказ'!L:L,$J177)="","",INDEX('Прайс и заказ'!L:L,$J177)))</f>
      </c>
      <c r="I177" s="13" t="str">
        <f>IF($J177=0,"",IF(INDEX('Прайс и заказ'!M:M,$J177)="","",INDEX('Прайс и заказ'!M:M,$J177)))</f>
      </c>
      <c r="J177" t="str">
        <f>IFERROR(MATCH(169,'Прайс и заказ'!$N$7:$N$244,0)+6,0)</f>
      </c>
      <c r="L177" t="str">
        <f>IF($J177=0,"",IF(INDEX('Прайс и заказ'!Q:Q,$J177)="","",INDEX('Прайс и заказ'!Q:Q,$J177)))</f>
      </c>
    </row>
    <row r="178" spans="1:12" customHeight="1" ht="40">
      <c r="A178" s="13" t="str">
        <f>IF($J178=0,"",IFERROR(_xlfn.IMAGE(INDEX('Прайс и заказ'!$O:$O,$J178)),""))</f>
      </c>
      <c r="B178" s="61" t="str">
        <f>IF($J178=0,"",IF(INDEX('Прайс и заказ'!B:B,$J178)="","",INDEX('Прайс и заказ'!B:B,$J178)))</f>
      </c>
      <c r="C178" s="64" t="str">
        <f>IF($J178=0,"",IF(INDEX('Прайс и заказ'!C:C,$J178)="","",INDEX('Прайс и заказ'!C:C,$J178)))</f>
      </c>
      <c r="D178" s="64" t="str">
        <f>IF($J178=0,"",IF(INDEX('Прайс и заказ'!D:D,$J178)="","",INDEX('Прайс и заказ'!D:D,$J178)))</f>
      </c>
      <c r="E178" s="61" t="str">
        <f>IF($J178=0,"",IF(INDEX('Прайс и заказ'!F:F,$J178)="","",INDEX('Прайс и заказ'!F:F,$J178)))</f>
      </c>
      <c r="F178" s="62" t="str">
        <f>IF($J178=0,"",IF(INDEX('Прайс и заказ'!I:I,$J178)="","",INDEX('Прайс и заказ'!I:I,$J178)))</f>
      </c>
      <c r="G178" s="63" t="str">
        <f>IF($J178=0,"",IF(INDEX('Прайс и заказ'!K:K,$J178)="","",INDEX('Прайс и заказ'!K:K,$J178)))</f>
      </c>
      <c r="H178" s="62" t="str">
        <f>IF($J178=0,"",IF(INDEX('Прайс и заказ'!L:L,$J178)="","",INDEX('Прайс и заказ'!L:L,$J178)))</f>
      </c>
      <c r="I178" s="13" t="str">
        <f>IF($J178=0,"",IF(INDEX('Прайс и заказ'!M:M,$J178)="","",INDEX('Прайс и заказ'!M:M,$J178)))</f>
      </c>
      <c r="J178" t="str">
        <f>IFERROR(MATCH(170,'Прайс и заказ'!$N$7:$N$244,0)+6,0)</f>
      </c>
      <c r="L178" t="str">
        <f>IF($J178=0,"",IF(INDEX('Прайс и заказ'!Q:Q,$J178)="","",INDEX('Прайс и заказ'!Q:Q,$J178)))</f>
      </c>
    </row>
    <row r="179" spans="1:12" customHeight="1" ht="40">
      <c r="A179" s="13" t="str">
        <f>IF($J179=0,"",IFERROR(_xlfn.IMAGE(INDEX('Прайс и заказ'!$O:$O,$J179)),""))</f>
      </c>
      <c r="B179" s="61" t="str">
        <f>IF($J179=0,"",IF(INDEX('Прайс и заказ'!B:B,$J179)="","",INDEX('Прайс и заказ'!B:B,$J179)))</f>
      </c>
      <c r="C179" s="64" t="str">
        <f>IF($J179=0,"",IF(INDEX('Прайс и заказ'!C:C,$J179)="","",INDEX('Прайс и заказ'!C:C,$J179)))</f>
      </c>
      <c r="D179" s="64" t="str">
        <f>IF($J179=0,"",IF(INDEX('Прайс и заказ'!D:D,$J179)="","",INDEX('Прайс и заказ'!D:D,$J179)))</f>
      </c>
      <c r="E179" s="61" t="str">
        <f>IF($J179=0,"",IF(INDEX('Прайс и заказ'!F:F,$J179)="","",INDEX('Прайс и заказ'!F:F,$J179)))</f>
      </c>
      <c r="F179" s="62" t="str">
        <f>IF($J179=0,"",IF(INDEX('Прайс и заказ'!I:I,$J179)="","",INDEX('Прайс и заказ'!I:I,$J179)))</f>
      </c>
      <c r="G179" s="63" t="str">
        <f>IF($J179=0,"",IF(INDEX('Прайс и заказ'!K:K,$J179)="","",INDEX('Прайс и заказ'!K:K,$J179)))</f>
      </c>
      <c r="H179" s="62" t="str">
        <f>IF($J179=0,"",IF(INDEX('Прайс и заказ'!L:L,$J179)="","",INDEX('Прайс и заказ'!L:L,$J179)))</f>
      </c>
      <c r="I179" s="13" t="str">
        <f>IF($J179=0,"",IF(INDEX('Прайс и заказ'!M:M,$J179)="","",INDEX('Прайс и заказ'!M:M,$J179)))</f>
      </c>
      <c r="J179" t="str">
        <f>IFERROR(MATCH(171,'Прайс и заказ'!$N$7:$N$244,0)+6,0)</f>
      </c>
      <c r="L179" t="str">
        <f>IF($J179=0,"",IF(INDEX('Прайс и заказ'!Q:Q,$J179)="","",INDEX('Прайс и заказ'!Q:Q,$J179)))</f>
      </c>
    </row>
    <row r="180" spans="1:12" customHeight="1" ht="40">
      <c r="A180" s="13" t="str">
        <f>IF($J180=0,"",IFERROR(_xlfn.IMAGE(INDEX('Прайс и заказ'!$O:$O,$J180)),""))</f>
      </c>
      <c r="B180" s="61" t="str">
        <f>IF($J180=0,"",IF(INDEX('Прайс и заказ'!B:B,$J180)="","",INDEX('Прайс и заказ'!B:B,$J180)))</f>
      </c>
      <c r="C180" s="64" t="str">
        <f>IF($J180=0,"",IF(INDEX('Прайс и заказ'!C:C,$J180)="","",INDEX('Прайс и заказ'!C:C,$J180)))</f>
      </c>
      <c r="D180" s="64" t="str">
        <f>IF($J180=0,"",IF(INDEX('Прайс и заказ'!D:D,$J180)="","",INDEX('Прайс и заказ'!D:D,$J180)))</f>
      </c>
      <c r="E180" s="61" t="str">
        <f>IF($J180=0,"",IF(INDEX('Прайс и заказ'!F:F,$J180)="","",INDEX('Прайс и заказ'!F:F,$J180)))</f>
      </c>
      <c r="F180" s="62" t="str">
        <f>IF($J180=0,"",IF(INDEX('Прайс и заказ'!I:I,$J180)="","",INDEX('Прайс и заказ'!I:I,$J180)))</f>
      </c>
      <c r="G180" s="63" t="str">
        <f>IF($J180=0,"",IF(INDEX('Прайс и заказ'!K:K,$J180)="","",INDEX('Прайс и заказ'!K:K,$J180)))</f>
      </c>
      <c r="H180" s="62" t="str">
        <f>IF($J180=0,"",IF(INDEX('Прайс и заказ'!L:L,$J180)="","",INDEX('Прайс и заказ'!L:L,$J180)))</f>
      </c>
      <c r="I180" s="13" t="str">
        <f>IF($J180=0,"",IF(INDEX('Прайс и заказ'!M:M,$J180)="","",INDEX('Прайс и заказ'!M:M,$J180)))</f>
      </c>
      <c r="J180" t="str">
        <f>IFERROR(MATCH(172,'Прайс и заказ'!$N$7:$N$244,0)+6,0)</f>
      </c>
      <c r="L180" t="str">
        <f>IF($J180=0,"",IF(INDEX('Прайс и заказ'!Q:Q,$J180)="","",INDEX('Прайс и заказ'!Q:Q,$J180)))</f>
      </c>
    </row>
    <row r="181" spans="1:12" customHeight="1" ht="40">
      <c r="A181" s="13" t="str">
        <f>IF($J181=0,"",IFERROR(_xlfn.IMAGE(INDEX('Прайс и заказ'!$O:$O,$J181)),""))</f>
      </c>
      <c r="B181" s="61" t="str">
        <f>IF($J181=0,"",IF(INDEX('Прайс и заказ'!B:B,$J181)="","",INDEX('Прайс и заказ'!B:B,$J181)))</f>
      </c>
      <c r="C181" s="64" t="str">
        <f>IF($J181=0,"",IF(INDEX('Прайс и заказ'!C:C,$J181)="","",INDEX('Прайс и заказ'!C:C,$J181)))</f>
      </c>
      <c r="D181" s="64" t="str">
        <f>IF($J181=0,"",IF(INDEX('Прайс и заказ'!D:D,$J181)="","",INDEX('Прайс и заказ'!D:D,$J181)))</f>
      </c>
      <c r="E181" s="61" t="str">
        <f>IF($J181=0,"",IF(INDEX('Прайс и заказ'!F:F,$J181)="","",INDEX('Прайс и заказ'!F:F,$J181)))</f>
      </c>
      <c r="F181" s="62" t="str">
        <f>IF($J181=0,"",IF(INDEX('Прайс и заказ'!I:I,$J181)="","",INDEX('Прайс и заказ'!I:I,$J181)))</f>
      </c>
      <c r="G181" s="63" t="str">
        <f>IF($J181=0,"",IF(INDEX('Прайс и заказ'!K:K,$J181)="","",INDEX('Прайс и заказ'!K:K,$J181)))</f>
      </c>
      <c r="H181" s="62" t="str">
        <f>IF($J181=0,"",IF(INDEX('Прайс и заказ'!L:L,$J181)="","",INDEX('Прайс и заказ'!L:L,$J181)))</f>
      </c>
      <c r="I181" s="13" t="str">
        <f>IF($J181=0,"",IF(INDEX('Прайс и заказ'!M:M,$J181)="","",INDEX('Прайс и заказ'!M:M,$J181)))</f>
      </c>
      <c r="J181" t="str">
        <f>IFERROR(MATCH(173,'Прайс и заказ'!$N$7:$N$244,0)+6,0)</f>
      </c>
      <c r="L181" t="str">
        <f>IF($J181=0,"",IF(INDEX('Прайс и заказ'!Q:Q,$J181)="","",INDEX('Прайс и заказ'!Q:Q,$J181)))</f>
      </c>
    </row>
    <row r="182" spans="1:12" customHeight="1" ht="40">
      <c r="A182" s="13" t="str">
        <f>IF($J182=0,"",IFERROR(_xlfn.IMAGE(INDEX('Прайс и заказ'!$O:$O,$J182)),""))</f>
      </c>
      <c r="B182" s="61" t="str">
        <f>IF($J182=0,"",IF(INDEX('Прайс и заказ'!B:B,$J182)="","",INDEX('Прайс и заказ'!B:B,$J182)))</f>
      </c>
      <c r="C182" s="64" t="str">
        <f>IF($J182=0,"",IF(INDEX('Прайс и заказ'!C:C,$J182)="","",INDEX('Прайс и заказ'!C:C,$J182)))</f>
      </c>
      <c r="D182" s="64" t="str">
        <f>IF($J182=0,"",IF(INDEX('Прайс и заказ'!D:D,$J182)="","",INDEX('Прайс и заказ'!D:D,$J182)))</f>
      </c>
      <c r="E182" s="61" t="str">
        <f>IF($J182=0,"",IF(INDEX('Прайс и заказ'!F:F,$J182)="","",INDEX('Прайс и заказ'!F:F,$J182)))</f>
      </c>
      <c r="F182" s="62" t="str">
        <f>IF($J182=0,"",IF(INDEX('Прайс и заказ'!I:I,$J182)="","",INDEX('Прайс и заказ'!I:I,$J182)))</f>
      </c>
      <c r="G182" s="63" t="str">
        <f>IF($J182=0,"",IF(INDEX('Прайс и заказ'!K:K,$J182)="","",INDEX('Прайс и заказ'!K:K,$J182)))</f>
      </c>
      <c r="H182" s="62" t="str">
        <f>IF($J182=0,"",IF(INDEX('Прайс и заказ'!L:L,$J182)="","",INDEX('Прайс и заказ'!L:L,$J182)))</f>
      </c>
      <c r="I182" s="13" t="str">
        <f>IF($J182=0,"",IF(INDEX('Прайс и заказ'!M:M,$J182)="","",INDEX('Прайс и заказ'!M:M,$J182)))</f>
      </c>
      <c r="J182" t="str">
        <f>IFERROR(MATCH(174,'Прайс и заказ'!$N$7:$N$244,0)+6,0)</f>
      </c>
      <c r="L182" t="str">
        <f>IF($J182=0,"",IF(INDEX('Прайс и заказ'!Q:Q,$J182)="","",INDEX('Прайс и заказ'!Q:Q,$J182)))</f>
      </c>
    </row>
    <row r="183" spans="1:12" customHeight="1" ht="40">
      <c r="A183" s="13" t="str">
        <f>IF($J183=0,"",IFERROR(_xlfn.IMAGE(INDEX('Прайс и заказ'!$O:$O,$J183)),""))</f>
      </c>
      <c r="B183" s="61" t="str">
        <f>IF($J183=0,"",IF(INDEX('Прайс и заказ'!B:B,$J183)="","",INDEX('Прайс и заказ'!B:B,$J183)))</f>
      </c>
      <c r="C183" s="64" t="str">
        <f>IF($J183=0,"",IF(INDEX('Прайс и заказ'!C:C,$J183)="","",INDEX('Прайс и заказ'!C:C,$J183)))</f>
      </c>
      <c r="D183" s="64" t="str">
        <f>IF($J183=0,"",IF(INDEX('Прайс и заказ'!D:D,$J183)="","",INDEX('Прайс и заказ'!D:D,$J183)))</f>
      </c>
      <c r="E183" s="61" t="str">
        <f>IF($J183=0,"",IF(INDEX('Прайс и заказ'!F:F,$J183)="","",INDEX('Прайс и заказ'!F:F,$J183)))</f>
      </c>
      <c r="F183" s="62" t="str">
        <f>IF($J183=0,"",IF(INDEX('Прайс и заказ'!I:I,$J183)="","",INDEX('Прайс и заказ'!I:I,$J183)))</f>
      </c>
      <c r="G183" s="63" t="str">
        <f>IF($J183=0,"",IF(INDEX('Прайс и заказ'!K:K,$J183)="","",INDEX('Прайс и заказ'!K:K,$J183)))</f>
      </c>
      <c r="H183" s="62" t="str">
        <f>IF($J183=0,"",IF(INDEX('Прайс и заказ'!L:L,$J183)="","",INDEX('Прайс и заказ'!L:L,$J183)))</f>
      </c>
      <c r="I183" s="13" t="str">
        <f>IF($J183=0,"",IF(INDEX('Прайс и заказ'!M:M,$J183)="","",INDEX('Прайс и заказ'!M:M,$J183)))</f>
      </c>
      <c r="J183" t="str">
        <f>IFERROR(MATCH(175,'Прайс и заказ'!$N$7:$N$244,0)+6,0)</f>
      </c>
      <c r="L183" t="str">
        <f>IF($J183=0,"",IF(INDEX('Прайс и заказ'!Q:Q,$J183)="","",INDEX('Прайс и заказ'!Q:Q,$J183)))</f>
      </c>
    </row>
    <row r="184" spans="1:12" customHeight="1" ht="40">
      <c r="A184" s="13" t="str">
        <f>IF($J184=0,"",IFERROR(_xlfn.IMAGE(INDEX('Прайс и заказ'!$O:$O,$J184)),""))</f>
      </c>
      <c r="B184" s="61" t="str">
        <f>IF($J184=0,"",IF(INDEX('Прайс и заказ'!B:B,$J184)="","",INDEX('Прайс и заказ'!B:B,$J184)))</f>
      </c>
      <c r="C184" s="64" t="str">
        <f>IF($J184=0,"",IF(INDEX('Прайс и заказ'!C:C,$J184)="","",INDEX('Прайс и заказ'!C:C,$J184)))</f>
      </c>
      <c r="D184" s="64" t="str">
        <f>IF($J184=0,"",IF(INDEX('Прайс и заказ'!D:D,$J184)="","",INDEX('Прайс и заказ'!D:D,$J184)))</f>
      </c>
      <c r="E184" s="61" t="str">
        <f>IF($J184=0,"",IF(INDEX('Прайс и заказ'!F:F,$J184)="","",INDEX('Прайс и заказ'!F:F,$J184)))</f>
      </c>
      <c r="F184" s="62" t="str">
        <f>IF($J184=0,"",IF(INDEX('Прайс и заказ'!I:I,$J184)="","",INDEX('Прайс и заказ'!I:I,$J184)))</f>
      </c>
      <c r="G184" s="63" t="str">
        <f>IF($J184=0,"",IF(INDEX('Прайс и заказ'!K:K,$J184)="","",INDEX('Прайс и заказ'!K:K,$J184)))</f>
      </c>
      <c r="H184" s="62" t="str">
        <f>IF($J184=0,"",IF(INDEX('Прайс и заказ'!L:L,$J184)="","",INDEX('Прайс и заказ'!L:L,$J184)))</f>
      </c>
      <c r="I184" s="13" t="str">
        <f>IF($J184=0,"",IF(INDEX('Прайс и заказ'!M:M,$J184)="","",INDEX('Прайс и заказ'!M:M,$J184)))</f>
      </c>
      <c r="J184" t="str">
        <f>IFERROR(MATCH(176,'Прайс и заказ'!$N$7:$N$244,0)+6,0)</f>
      </c>
      <c r="L184" t="str">
        <f>IF($J184=0,"",IF(INDEX('Прайс и заказ'!Q:Q,$J184)="","",INDEX('Прайс и заказ'!Q:Q,$J184)))</f>
      </c>
    </row>
    <row r="185" spans="1:12" customHeight="1" ht="40">
      <c r="A185" s="13" t="str">
        <f>IF($J185=0,"",IFERROR(_xlfn.IMAGE(INDEX('Прайс и заказ'!$O:$O,$J185)),""))</f>
      </c>
      <c r="B185" s="61" t="str">
        <f>IF($J185=0,"",IF(INDEX('Прайс и заказ'!B:B,$J185)="","",INDEX('Прайс и заказ'!B:B,$J185)))</f>
      </c>
      <c r="C185" s="64" t="str">
        <f>IF($J185=0,"",IF(INDEX('Прайс и заказ'!C:C,$J185)="","",INDEX('Прайс и заказ'!C:C,$J185)))</f>
      </c>
      <c r="D185" s="64" t="str">
        <f>IF($J185=0,"",IF(INDEX('Прайс и заказ'!D:D,$J185)="","",INDEX('Прайс и заказ'!D:D,$J185)))</f>
      </c>
      <c r="E185" s="61" t="str">
        <f>IF($J185=0,"",IF(INDEX('Прайс и заказ'!F:F,$J185)="","",INDEX('Прайс и заказ'!F:F,$J185)))</f>
      </c>
      <c r="F185" s="62" t="str">
        <f>IF($J185=0,"",IF(INDEX('Прайс и заказ'!I:I,$J185)="","",INDEX('Прайс и заказ'!I:I,$J185)))</f>
      </c>
      <c r="G185" s="63" t="str">
        <f>IF($J185=0,"",IF(INDEX('Прайс и заказ'!K:K,$J185)="","",INDEX('Прайс и заказ'!K:K,$J185)))</f>
      </c>
      <c r="H185" s="62" t="str">
        <f>IF($J185=0,"",IF(INDEX('Прайс и заказ'!L:L,$J185)="","",INDEX('Прайс и заказ'!L:L,$J185)))</f>
      </c>
      <c r="I185" s="13" t="str">
        <f>IF($J185=0,"",IF(INDEX('Прайс и заказ'!M:M,$J185)="","",INDEX('Прайс и заказ'!M:M,$J185)))</f>
      </c>
      <c r="J185" t="str">
        <f>IFERROR(MATCH(177,'Прайс и заказ'!$N$7:$N$244,0)+6,0)</f>
      </c>
      <c r="L185" t="str">
        <f>IF($J185=0,"",IF(INDEX('Прайс и заказ'!Q:Q,$J185)="","",INDEX('Прайс и заказ'!Q:Q,$J185)))</f>
      </c>
    </row>
    <row r="186" spans="1:12" customHeight="1" ht="40">
      <c r="A186" s="13" t="str">
        <f>IF($J186=0,"",IFERROR(_xlfn.IMAGE(INDEX('Прайс и заказ'!$O:$O,$J186)),""))</f>
      </c>
      <c r="B186" s="61" t="str">
        <f>IF($J186=0,"",IF(INDEX('Прайс и заказ'!B:B,$J186)="","",INDEX('Прайс и заказ'!B:B,$J186)))</f>
      </c>
      <c r="C186" s="64" t="str">
        <f>IF($J186=0,"",IF(INDEX('Прайс и заказ'!C:C,$J186)="","",INDEX('Прайс и заказ'!C:C,$J186)))</f>
      </c>
      <c r="D186" s="64" t="str">
        <f>IF($J186=0,"",IF(INDEX('Прайс и заказ'!D:D,$J186)="","",INDEX('Прайс и заказ'!D:D,$J186)))</f>
      </c>
      <c r="E186" s="61" t="str">
        <f>IF($J186=0,"",IF(INDEX('Прайс и заказ'!F:F,$J186)="","",INDEX('Прайс и заказ'!F:F,$J186)))</f>
      </c>
      <c r="F186" s="62" t="str">
        <f>IF($J186=0,"",IF(INDEX('Прайс и заказ'!I:I,$J186)="","",INDEX('Прайс и заказ'!I:I,$J186)))</f>
      </c>
      <c r="G186" s="63" t="str">
        <f>IF($J186=0,"",IF(INDEX('Прайс и заказ'!K:K,$J186)="","",INDEX('Прайс и заказ'!K:K,$J186)))</f>
      </c>
      <c r="H186" s="62" t="str">
        <f>IF($J186=0,"",IF(INDEX('Прайс и заказ'!L:L,$J186)="","",INDEX('Прайс и заказ'!L:L,$J186)))</f>
      </c>
      <c r="I186" s="13" t="str">
        <f>IF($J186=0,"",IF(INDEX('Прайс и заказ'!M:M,$J186)="","",INDEX('Прайс и заказ'!M:M,$J186)))</f>
      </c>
      <c r="J186" t="str">
        <f>IFERROR(MATCH(178,'Прайс и заказ'!$N$7:$N$244,0)+6,0)</f>
      </c>
      <c r="L186" t="str">
        <f>IF($J186=0,"",IF(INDEX('Прайс и заказ'!Q:Q,$J186)="","",INDEX('Прайс и заказ'!Q:Q,$J186)))</f>
      </c>
    </row>
    <row r="187" spans="1:12" customHeight="1" ht="40">
      <c r="A187" s="13" t="str">
        <f>IF($J187=0,"",IFERROR(_xlfn.IMAGE(INDEX('Прайс и заказ'!$O:$O,$J187)),""))</f>
      </c>
      <c r="B187" s="61" t="str">
        <f>IF($J187=0,"",IF(INDEX('Прайс и заказ'!B:B,$J187)="","",INDEX('Прайс и заказ'!B:B,$J187)))</f>
      </c>
      <c r="C187" s="64" t="str">
        <f>IF($J187=0,"",IF(INDEX('Прайс и заказ'!C:C,$J187)="","",INDEX('Прайс и заказ'!C:C,$J187)))</f>
      </c>
      <c r="D187" s="64" t="str">
        <f>IF($J187=0,"",IF(INDEX('Прайс и заказ'!D:D,$J187)="","",INDEX('Прайс и заказ'!D:D,$J187)))</f>
      </c>
      <c r="E187" s="61" t="str">
        <f>IF($J187=0,"",IF(INDEX('Прайс и заказ'!F:F,$J187)="","",INDEX('Прайс и заказ'!F:F,$J187)))</f>
      </c>
      <c r="F187" s="62" t="str">
        <f>IF($J187=0,"",IF(INDEX('Прайс и заказ'!I:I,$J187)="","",INDEX('Прайс и заказ'!I:I,$J187)))</f>
      </c>
      <c r="G187" s="63" t="str">
        <f>IF($J187=0,"",IF(INDEX('Прайс и заказ'!K:K,$J187)="","",INDEX('Прайс и заказ'!K:K,$J187)))</f>
      </c>
      <c r="H187" s="62" t="str">
        <f>IF($J187=0,"",IF(INDEX('Прайс и заказ'!L:L,$J187)="","",INDEX('Прайс и заказ'!L:L,$J187)))</f>
      </c>
      <c r="I187" s="13" t="str">
        <f>IF($J187=0,"",IF(INDEX('Прайс и заказ'!M:M,$J187)="","",INDEX('Прайс и заказ'!M:M,$J187)))</f>
      </c>
      <c r="J187" t="str">
        <f>IFERROR(MATCH(179,'Прайс и заказ'!$N$7:$N$244,0)+6,0)</f>
      </c>
      <c r="L187" t="str">
        <f>IF($J187=0,"",IF(INDEX('Прайс и заказ'!Q:Q,$J187)="","",INDEX('Прайс и заказ'!Q:Q,$J187)))</f>
      </c>
    </row>
    <row r="188" spans="1:12" customHeight="1" ht="40">
      <c r="A188" s="13" t="str">
        <f>IF($J188=0,"",IFERROR(_xlfn.IMAGE(INDEX('Прайс и заказ'!$O:$O,$J188)),""))</f>
      </c>
      <c r="B188" s="61" t="str">
        <f>IF($J188=0,"",IF(INDEX('Прайс и заказ'!B:B,$J188)="","",INDEX('Прайс и заказ'!B:B,$J188)))</f>
      </c>
      <c r="C188" s="64" t="str">
        <f>IF($J188=0,"",IF(INDEX('Прайс и заказ'!C:C,$J188)="","",INDEX('Прайс и заказ'!C:C,$J188)))</f>
      </c>
      <c r="D188" s="64" t="str">
        <f>IF($J188=0,"",IF(INDEX('Прайс и заказ'!D:D,$J188)="","",INDEX('Прайс и заказ'!D:D,$J188)))</f>
      </c>
      <c r="E188" s="61" t="str">
        <f>IF($J188=0,"",IF(INDEX('Прайс и заказ'!F:F,$J188)="","",INDEX('Прайс и заказ'!F:F,$J188)))</f>
      </c>
      <c r="F188" s="62" t="str">
        <f>IF($J188=0,"",IF(INDEX('Прайс и заказ'!I:I,$J188)="","",INDEX('Прайс и заказ'!I:I,$J188)))</f>
      </c>
      <c r="G188" s="63" t="str">
        <f>IF($J188=0,"",IF(INDEX('Прайс и заказ'!K:K,$J188)="","",INDEX('Прайс и заказ'!K:K,$J188)))</f>
      </c>
      <c r="H188" s="62" t="str">
        <f>IF($J188=0,"",IF(INDEX('Прайс и заказ'!L:L,$J188)="","",INDEX('Прайс и заказ'!L:L,$J188)))</f>
      </c>
      <c r="I188" s="13" t="str">
        <f>IF($J188=0,"",IF(INDEX('Прайс и заказ'!M:M,$J188)="","",INDEX('Прайс и заказ'!M:M,$J188)))</f>
      </c>
      <c r="J188" t="str">
        <f>IFERROR(MATCH(180,'Прайс и заказ'!$N$7:$N$244,0)+6,0)</f>
      </c>
      <c r="L188" t="str">
        <f>IF($J188=0,"",IF(INDEX('Прайс и заказ'!Q:Q,$J188)="","",INDEX('Прайс и заказ'!Q:Q,$J188)))</f>
      </c>
    </row>
    <row r="189" spans="1:12" customHeight="1" ht="40">
      <c r="A189" s="13" t="str">
        <f>IF($J189=0,"",IFERROR(_xlfn.IMAGE(INDEX('Прайс и заказ'!$O:$O,$J189)),""))</f>
      </c>
      <c r="B189" s="61" t="str">
        <f>IF($J189=0,"",IF(INDEX('Прайс и заказ'!B:B,$J189)="","",INDEX('Прайс и заказ'!B:B,$J189)))</f>
      </c>
      <c r="C189" s="64" t="str">
        <f>IF($J189=0,"",IF(INDEX('Прайс и заказ'!C:C,$J189)="","",INDEX('Прайс и заказ'!C:C,$J189)))</f>
      </c>
      <c r="D189" s="64" t="str">
        <f>IF($J189=0,"",IF(INDEX('Прайс и заказ'!D:D,$J189)="","",INDEX('Прайс и заказ'!D:D,$J189)))</f>
      </c>
      <c r="E189" s="61" t="str">
        <f>IF($J189=0,"",IF(INDEX('Прайс и заказ'!F:F,$J189)="","",INDEX('Прайс и заказ'!F:F,$J189)))</f>
      </c>
      <c r="F189" s="62" t="str">
        <f>IF($J189=0,"",IF(INDEX('Прайс и заказ'!I:I,$J189)="","",INDEX('Прайс и заказ'!I:I,$J189)))</f>
      </c>
      <c r="G189" s="63" t="str">
        <f>IF($J189=0,"",IF(INDEX('Прайс и заказ'!K:K,$J189)="","",INDEX('Прайс и заказ'!K:K,$J189)))</f>
      </c>
      <c r="H189" s="62" t="str">
        <f>IF($J189=0,"",IF(INDEX('Прайс и заказ'!L:L,$J189)="","",INDEX('Прайс и заказ'!L:L,$J189)))</f>
      </c>
      <c r="I189" s="13" t="str">
        <f>IF($J189=0,"",IF(INDEX('Прайс и заказ'!M:M,$J189)="","",INDEX('Прайс и заказ'!M:M,$J189)))</f>
      </c>
      <c r="J189" t="str">
        <f>IFERROR(MATCH(181,'Прайс и заказ'!$N$7:$N$244,0)+6,0)</f>
      </c>
      <c r="L189" t="str">
        <f>IF($J189=0,"",IF(INDEX('Прайс и заказ'!Q:Q,$J189)="","",INDEX('Прайс и заказ'!Q:Q,$J189)))</f>
      </c>
    </row>
    <row r="190" spans="1:12" customHeight="1" ht="40">
      <c r="A190" s="13" t="str">
        <f>IF($J190=0,"",IFERROR(_xlfn.IMAGE(INDEX('Прайс и заказ'!$O:$O,$J190)),""))</f>
      </c>
      <c r="B190" s="61" t="str">
        <f>IF($J190=0,"",IF(INDEX('Прайс и заказ'!B:B,$J190)="","",INDEX('Прайс и заказ'!B:B,$J190)))</f>
      </c>
      <c r="C190" s="64" t="str">
        <f>IF($J190=0,"",IF(INDEX('Прайс и заказ'!C:C,$J190)="","",INDEX('Прайс и заказ'!C:C,$J190)))</f>
      </c>
      <c r="D190" s="64" t="str">
        <f>IF($J190=0,"",IF(INDEX('Прайс и заказ'!D:D,$J190)="","",INDEX('Прайс и заказ'!D:D,$J190)))</f>
      </c>
      <c r="E190" s="61" t="str">
        <f>IF($J190=0,"",IF(INDEX('Прайс и заказ'!F:F,$J190)="","",INDEX('Прайс и заказ'!F:F,$J190)))</f>
      </c>
      <c r="F190" s="62" t="str">
        <f>IF($J190=0,"",IF(INDEX('Прайс и заказ'!I:I,$J190)="","",INDEX('Прайс и заказ'!I:I,$J190)))</f>
      </c>
      <c r="G190" s="63" t="str">
        <f>IF($J190=0,"",IF(INDEX('Прайс и заказ'!K:K,$J190)="","",INDEX('Прайс и заказ'!K:K,$J190)))</f>
      </c>
      <c r="H190" s="62" t="str">
        <f>IF($J190=0,"",IF(INDEX('Прайс и заказ'!L:L,$J190)="","",INDEX('Прайс и заказ'!L:L,$J190)))</f>
      </c>
      <c r="I190" s="13" t="str">
        <f>IF($J190=0,"",IF(INDEX('Прайс и заказ'!M:M,$J190)="","",INDEX('Прайс и заказ'!M:M,$J190)))</f>
      </c>
      <c r="J190" t="str">
        <f>IFERROR(MATCH(182,'Прайс и заказ'!$N$7:$N$244,0)+6,0)</f>
      </c>
      <c r="L190" t="str">
        <f>IF($J190=0,"",IF(INDEX('Прайс и заказ'!Q:Q,$J190)="","",INDEX('Прайс и заказ'!Q:Q,$J190)))</f>
      </c>
    </row>
    <row r="191" spans="1:12" customHeight="1" ht="40">
      <c r="A191" s="13" t="str">
        <f>IF($J191=0,"",IFERROR(_xlfn.IMAGE(INDEX('Прайс и заказ'!$O:$O,$J191)),""))</f>
      </c>
      <c r="B191" s="61" t="str">
        <f>IF($J191=0,"",IF(INDEX('Прайс и заказ'!B:B,$J191)="","",INDEX('Прайс и заказ'!B:B,$J191)))</f>
      </c>
      <c r="C191" s="64" t="str">
        <f>IF($J191=0,"",IF(INDEX('Прайс и заказ'!C:C,$J191)="","",INDEX('Прайс и заказ'!C:C,$J191)))</f>
      </c>
      <c r="D191" s="64" t="str">
        <f>IF($J191=0,"",IF(INDEX('Прайс и заказ'!D:D,$J191)="","",INDEX('Прайс и заказ'!D:D,$J191)))</f>
      </c>
      <c r="E191" s="61" t="str">
        <f>IF($J191=0,"",IF(INDEX('Прайс и заказ'!F:F,$J191)="","",INDEX('Прайс и заказ'!F:F,$J191)))</f>
      </c>
      <c r="F191" s="62" t="str">
        <f>IF($J191=0,"",IF(INDEX('Прайс и заказ'!I:I,$J191)="","",INDEX('Прайс и заказ'!I:I,$J191)))</f>
      </c>
      <c r="G191" s="63" t="str">
        <f>IF($J191=0,"",IF(INDEX('Прайс и заказ'!K:K,$J191)="","",INDEX('Прайс и заказ'!K:K,$J191)))</f>
      </c>
      <c r="H191" s="62" t="str">
        <f>IF($J191=0,"",IF(INDEX('Прайс и заказ'!L:L,$J191)="","",INDEX('Прайс и заказ'!L:L,$J191)))</f>
      </c>
      <c r="I191" s="13" t="str">
        <f>IF($J191=0,"",IF(INDEX('Прайс и заказ'!M:M,$J191)="","",INDEX('Прайс и заказ'!M:M,$J191)))</f>
      </c>
      <c r="J191" t="str">
        <f>IFERROR(MATCH(183,'Прайс и заказ'!$N$7:$N$244,0)+6,0)</f>
      </c>
      <c r="L191" t="str">
        <f>IF($J191=0,"",IF(INDEX('Прайс и заказ'!Q:Q,$J191)="","",INDEX('Прайс и заказ'!Q:Q,$J191)))</f>
      </c>
    </row>
    <row r="192" spans="1:12" customHeight="1" ht="40">
      <c r="A192" s="13" t="str">
        <f>IF($J192=0,"",IFERROR(_xlfn.IMAGE(INDEX('Прайс и заказ'!$O:$O,$J192)),""))</f>
      </c>
      <c r="B192" s="61" t="str">
        <f>IF($J192=0,"",IF(INDEX('Прайс и заказ'!B:B,$J192)="","",INDEX('Прайс и заказ'!B:B,$J192)))</f>
      </c>
      <c r="C192" s="64" t="str">
        <f>IF($J192=0,"",IF(INDEX('Прайс и заказ'!C:C,$J192)="","",INDEX('Прайс и заказ'!C:C,$J192)))</f>
      </c>
      <c r="D192" s="64" t="str">
        <f>IF($J192=0,"",IF(INDEX('Прайс и заказ'!D:D,$J192)="","",INDEX('Прайс и заказ'!D:D,$J192)))</f>
      </c>
      <c r="E192" s="61" t="str">
        <f>IF($J192=0,"",IF(INDEX('Прайс и заказ'!F:F,$J192)="","",INDEX('Прайс и заказ'!F:F,$J192)))</f>
      </c>
      <c r="F192" s="62" t="str">
        <f>IF($J192=0,"",IF(INDEX('Прайс и заказ'!I:I,$J192)="","",INDEX('Прайс и заказ'!I:I,$J192)))</f>
      </c>
      <c r="G192" s="63" t="str">
        <f>IF($J192=0,"",IF(INDEX('Прайс и заказ'!K:K,$J192)="","",INDEX('Прайс и заказ'!K:K,$J192)))</f>
      </c>
      <c r="H192" s="62" t="str">
        <f>IF($J192=0,"",IF(INDEX('Прайс и заказ'!L:L,$J192)="","",INDEX('Прайс и заказ'!L:L,$J192)))</f>
      </c>
      <c r="I192" s="13" t="str">
        <f>IF($J192=0,"",IF(INDEX('Прайс и заказ'!M:M,$J192)="","",INDEX('Прайс и заказ'!M:M,$J192)))</f>
      </c>
      <c r="J192" t="str">
        <f>IFERROR(MATCH(184,'Прайс и заказ'!$N$7:$N$244,0)+6,0)</f>
      </c>
      <c r="L192" t="str">
        <f>IF($J192=0,"",IF(INDEX('Прайс и заказ'!Q:Q,$J192)="","",INDEX('Прайс и заказ'!Q:Q,$J192)))</f>
      </c>
    </row>
    <row r="193" spans="1:12" customHeight="1" ht="40">
      <c r="A193" s="13" t="str">
        <f>IF($J193=0,"",IFERROR(_xlfn.IMAGE(INDEX('Прайс и заказ'!$O:$O,$J193)),""))</f>
      </c>
      <c r="B193" s="61" t="str">
        <f>IF($J193=0,"",IF(INDEX('Прайс и заказ'!B:B,$J193)="","",INDEX('Прайс и заказ'!B:B,$J193)))</f>
      </c>
      <c r="C193" s="64" t="str">
        <f>IF($J193=0,"",IF(INDEX('Прайс и заказ'!C:C,$J193)="","",INDEX('Прайс и заказ'!C:C,$J193)))</f>
      </c>
      <c r="D193" s="64" t="str">
        <f>IF($J193=0,"",IF(INDEX('Прайс и заказ'!D:D,$J193)="","",INDEX('Прайс и заказ'!D:D,$J193)))</f>
      </c>
      <c r="E193" s="61" t="str">
        <f>IF($J193=0,"",IF(INDEX('Прайс и заказ'!F:F,$J193)="","",INDEX('Прайс и заказ'!F:F,$J193)))</f>
      </c>
      <c r="F193" s="62" t="str">
        <f>IF($J193=0,"",IF(INDEX('Прайс и заказ'!I:I,$J193)="","",INDEX('Прайс и заказ'!I:I,$J193)))</f>
      </c>
      <c r="G193" s="63" t="str">
        <f>IF($J193=0,"",IF(INDEX('Прайс и заказ'!K:K,$J193)="","",INDEX('Прайс и заказ'!K:K,$J193)))</f>
      </c>
      <c r="H193" s="62" t="str">
        <f>IF($J193=0,"",IF(INDEX('Прайс и заказ'!L:L,$J193)="","",INDEX('Прайс и заказ'!L:L,$J193)))</f>
      </c>
      <c r="I193" s="13" t="str">
        <f>IF($J193=0,"",IF(INDEX('Прайс и заказ'!M:M,$J193)="","",INDEX('Прайс и заказ'!M:M,$J193)))</f>
      </c>
      <c r="J193" t="str">
        <f>IFERROR(MATCH(185,'Прайс и заказ'!$N$7:$N$244,0)+6,0)</f>
      </c>
      <c r="L193" t="str">
        <f>IF($J193=0,"",IF(INDEX('Прайс и заказ'!Q:Q,$J193)="","",INDEX('Прайс и заказ'!Q:Q,$J193)))</f>
      </c>
    </row>
    <row r="194" spans="1:12" customHeight="1" ht="40">
      <c r="A194" s="13" t="str">
        <f>IF($J194=0,"",IFERROR(_xlfn.IMAGE(INDEX('Прайс и заказ'!$O:$O,$J194)),""))</f>
      </c>
      <c r="B194" s="61" t="str">
        <f>IF($J194=0,"",IF(INDEX('Прайс и заказ'!B:B,$J194)="","",INDEX('Прайс и заказ'!B:B,$J194)))</f>
      </c>
      <c r="C194" s="64" t="str">
        <f>IF($J194=0,"",IF(INDEX('Прайс и заказ'!C:C,$J194)="","",INDEX('Прайс и заказ'!C:C,$J194)))</f>
      </c>
      <c r="D194" s="64" t="str">
        <f>IF($J194=0,"",IF(INDEX('Прайс и заказ'!D:D,$J194)="","",INDEX('Прайс и заказ'!D:D,$J194)))</f>
      </c>
      <c r="E194" s="61" t="str">
        <f>IF($J194=0,"",IF(INDEX('Прайс и заказ'!F:F,$J194)="","",INDEX('Прайс и заказ'!F:F,$J194)))</f>
      </c>
      <c r="F194" s="62" t="str">
        <f>IF($J194=0,"",IF(INDEX('Прайс и заказ'!I:I,$J194)="","",INDEX('Прайс и заказ'!I:I,$J194)))</f>
      </c>
      <c r="G194" s="63" t="str">
        <f>IF($J194=0,"",IF(INDEX('Прайс и заказ'!K:K,$J194)="","",INDEX('Прайс и заказ'!K:K,$J194)))</f>
      </c>
      <c r="H194" s="62" t="str">
        <f>IF($J194=0,"",IF(INDEX('Прайс и заказ'!L:L,$J194)="","",INDEX('Прайс и заказ'!L:L,$J194)))</f>
      </c>
      <c r="I194" s="13" t="str">
        <f>IF($J194=0,"",IF(INDEX('Прайс и заказ'!M:M,$J194)="","",INDEX('Прайс и заказ'!M:M,$J194)))</f>
      </c>
      <c r="J194" t="str">
        <f>IFERROR(MATCH(186,'Прайс и заказ'!$N$7:$N$244,0)+6,0)</f>
      </c>
      <c r="L194" t="str">
        <f>IF($J194=0,"",IF(INDEX('Прайс и заказ'!Q:Q,$J194)="","",INDEX('Прайс и заказ'!Q:Q,$J194)))</f>
      </c>
    </row>
    <row r="195" spans="1:12" customHeight="1" ht="40">
      <c r="A195" s="13" t="str">
        <f>IF($J195=0,"",IFERROR(_xlfn.IMAGE(INDEX('Прайс и заказ'!$O:$O,$J195)),""))</f>
      </c>
      <c r="B195" s="61" t="str">
        <f>IF($J195=0,"",IF(INDEX('Прайс и заказ'!B:B,$J195)="","",INDEX('Прайс и заказ'!B:B,$J195)))</f>
      </c>
      <c r="C195" s="64" t="str">
        <f>IF($J195=0,"",IF(INDEX('Прайс и заказ'!C:C,$J195)="","",INDEX('Прайс и заказ'!C:C,$J195)))</f>
      </c>
      <c r="D195" s="64" t="str">
        <f>IF($J195=0,"",IF(INDEX('Прайс и заказ'!D:D,$J195)="","",INDEX('Прайс и заказ'!D:D,$J195)))</f>
      </c>
      <c r="E195" s="61" t="str">
        <f>IF($J195=0,"",IF(INDEX('Прайс и заказ'!F:F,$J195)="","",INDEX('Прайс и заказ'!F:F,$J195)))</f>
      </c>
      <c r="F195" s="62" t="str">
        <f>IF($J195=0,"",IF(INDEX('Прайс и заказ'!I:I,$J195)="","",INDEX('Прайс и заказ'!I:I,$J195)))</f>
      </c>
      <c r="G195" s="63" t="str">
        <f>IF($J195=0,"",IF(INDEX('Прайс и заказ'!K:K,$J195)="","",INDEX('Прайс и заказ'!K:K,$J195)))</f>
      </c>
      <c r="H195" s="62" t="str">
        <f>IF($J195=0,"",IF(INDEX('Прайс и заказ'!L:L,$J195)="","",INDEX('Прайс и заказ'!L:L,$J195)))</f>
      </c>
      <c r="I195" s="13" t="str">
        <f>IF($J195=0,"",IF(INDEX('Прайс и заказ'!M:M,$J195)="","",INDEX('Прайс и заказ'!M:M,$J195)))</f>
      </c>
      <c r="J195" t="str">
        <f>IFERROR(MATCH(187,'Прайс и заказ'!$N$7:$N$244,0)+6,0)</f>
      </c>
      <c r="L195" t="str">
        <f>IF($J195=0,"",IF(INDEX('Прайс и заказ'!Q:Q,$J195)="","",INDEX('Прайс и заказ'!Q:Q,$J195)))</f>
      </c>
    </row>
    <row r="196" spans="1:12" customHeight="1" ht="40">
      <c r="A196" s="13" t="str">
        <f>IF($J196=0,"",IFERROR(_xlfn.IMAGE(INDEX('Прайс и заказ'!$O:$O,$J196)),""))</f>
      </c>
      <c r="B196" s="61" t="str">
        <f>IF($J196=0,"",IF(INDEX('Прайс и заказ'!B:B,$J196)="","",INDEX('Прайс и заказ'!B:B,$J196)))</f>
      </c>
      <c r="C196" s="64" t="str">
        <f>IF($J196=0,"",IF(INDEX('Прайс и заказ'!C:C,$J196)="","",INDEX('Прайс и заказ'!C:C,$J196)))</f>
      </c>
      <c r="D196" s="64" t="str">
        <f>IF($J196=0,"",IF(INDEX('Прайс и заказ'!D:D,$J196)="","",INDEX('Прайс и заказ'!D:D,$J196)))</f>
      </c>
      <c r="E196" s="61" t="str">
        <f>IF($J196=0,"",IF(INDEX('Прайс и заказ'!F:F,$J196)="","",INDEX('Прайс и заказ'!F:F,$J196)))</f>
      </c>
      <c r="F196" s="62" t="str">
        <f>IF($J196=0,"",IF(INDEX('Прайс и заказ'!I:I,$J196)="","",INDEX('Прайс и заказ'!I:I,$J196)))</f>
      </c>
      <c r="G196" s="63" t="str">
        <f>IF($J196=0,"",IF(INDEX('Прайс и заказ'!K:K,$J196)="","",INDEX('Прайс и заказ'!K:K,$J196)))</f>
      </c>
      <c r="H196" s="62" t="str">
        <f>IF($J196=0,"",IF(INDEX('Прайс и заказ'!L:L,$J196)="","",INDEX('Прайс и заказ'!L:L,$J196)))</f>
      </c>
      <c r="I196" s="13" t="str">
        <f>IF($J196=0,"",IF(INDEX('Прайс и заказ'!M:M,$J196)="","",INDEX('Прайс и заказ'!M:M,$J196)))</f>
      </c>
      <c r="J196" t="str">
        <f>IFERROR(MATCH(188,'Прайс и заказ'!$N$7:$N$244,0)+6,0)</f>
      </c>
      <c r="L196" t="str">
        <f>IF($J196=0,"",IF(INDEX('Прайс и заказ'!Q:Q,$J196)="","",INDEX('Прайс и заказ'!Q:Q,$J196)))</f>
      </c>
    </row>
    <row r="197" spans="1:12" customHeight="1" ht="40">
      <c r="A197" s="13" t="str">
        <f>IF($J197=0,"",IFERROR(_xlfn.IMAGE(INDEX('Прайс и заказ'!$O:$O,$J197)),""))</f>
      </c>
      <c r="B197" s="61" t="str">
        <f>IF($J197=0,"",IF(INDEX('Прайс и заказ'!B:B,$J197)="","",INDEX('Прайс и заказ'!B:B,$J197)))</f>
      </c>
      <c r="C197" s="64" t="str">
        <f>IF($J197=0,"",IF(INDEX('Прайс и заказ'!C:C,$J197)="","",INDEX('Прайс и заказ'!C:C,$J197)))</f>
      </c>
      <c r="D197" s="64" t="str">
        <f>IF($J197=0,"",IF(INDEX('Прайс и заказ'!D:D,$J197)="","",INDEX('Прайс и заказ'!D:D,$J197)))</f>
      </c>
      <c r="E197" s="61" t="str">
        <f>IF($J197=0,"",IF(INDEX('Прайс и заказ'!F:F,$J197)="","",INDEX('Прайс и заказ'!F:F,$J197)))</f>
      </c>
      <c r="F197" s="62" t="str">
        <f>IF($J197=0,"",IF(INDEX('Прайс и заказ'!I:I,$J197)="","",INDEX('Прайс и заказ'!I:I,$J197)))</f>
      </c>
      <c r="G197" s="63" t="str">
        <f>IF($J197=0,"",IF(INDEX('Прайс и заказ'!K:K,$J197)="","",INDEX('Прайс и заказ'!K:K,$J197)))</f>
      </c>
      <c r="H197" s="62" t="str">
        <f>IF($J197=0,"",IF(INDEX('Прайс и заказ'!L:L,$J197)="","",INDEX('Прайс и заказ'!L:L,$J197)))</f>
      </c>
      <c r="I197" s="13" t="str">
        <f>IF($J197=0,"",IF(INDEX('Прайс и заказ'!M:M,$J197)="","",INDEX('Прайс и заказ'!M:M,$J197)))</f>
      </c>
      <c r="J197" t="str">
        <f>IFERROR(MATCH(189,'Прайс и заказ'!$N$7:$N$244,0)+6,0)</f>
      </c>
      <c r="L197" t="str">
        <f>IF($J197=0,"",IF(INDEX('Прайс и заказ'!Q:Q,$J197)="","",INDEX('Прайс и заказ'!Q:Q,$J197)))</f>
      </c>
    </row>
    <row r="198" spans="1:12" customHeight="1" ht="40">
      <c r="A198" s="13" t="str">
        <f>IF($J198=0,"",IFERROR(_xlfn.IMAGE(INDEX('Прайс и заказ'!$O:$O,$J198)),""))</f>
      </c>
      <c r="B198" s="61" t="str">
        <f>IF($J198=0,"",IF(INDEX('Прайс и заказ'!B:B,$J198)="","",INDEX('Прайс и заказ'!B:B,$J198)))</f>
      </c>
      <c r="C198" s="64" t="str">
        <f>IF($J198=0,"",IF(INDEX('Прайс и заказ'!C:C,$J198)="","",INDEX('Прайс и заказ'!C:C,$J198)))</f>
      </c>
      <c r="D198" s="64" t="str">
        <f>IF($J198=0,"",IF(INDEX('Прайс и заказ'!D:D,$J198)="","",INDEX('Прайс и заказ'!D:D,$J198)))</f>
      </c>
      <c r="E198" s="61" t="str">
        <f>IF($J198=0,"",IF(INDEX('Прайс и заказ'!F:F,$J198)="","",INDEX('Прайс и заказ'!F:F,$J198)))</f>
      </c>
      <c r="F198" s="62" t="str">
        <f>IF($J198=0,"",IF(INDEX('Прайс и заказ'!I:I,$J198)="","",INDEX('Прайс и заказ'!I:I,$J198)))</f>
      </c>
      <c r="G198" s="63" t="str">
        <f>IF($J198=0,"",IF(INDEX('Прайс и заказ'!K:K,$J198)="","",INDEX('Прайс и заказ'!K:K,$J198)))</f>
      </c>
      <c r="H198" s="62" t="str">
        <f>IF($J198=0,"",IF(INDEX('Прайс и заказ'!L:L,$J198)="","",INDEX('Прайс и заказ'!L:L,$J198)))</f>
      </c>
      <c r="I198" s="13" t="str">
        <f>IF($J198=0,"",IF(INDEX('Прайс и заказ'!M:M,$J198)="","",INDEX('Прайс и заказ'!M:M,$J198)))</f>
      </c>
      <c r="J198" t="str">
        <f>IFERROR(MATCH(190,'Прайс и заказ'!$N$7:$N$244,0)+6,0)</f>
      </c>
      <c r="L198" t="str">
        <f>IF($J198=0,"",IF(INDEX('Прайс и заказ'!Q:Q,$J198)="","",INDEX('Прайс и заказ'!Q:Q,$J198)))</f>
      </c>
    </row>
    <row r="199" spans="1:12" customHeight="1" ht="40">
      <c r="A199" s="13" t="str">
        <f>IF($J199=0,"",IFERROR(_xlfn.IMAGE(INDEX('Прайс и заказ'!$O:$O,$J199)),""))</f>
      </c>
      <c r="B199" s="61" t="str">
        <f>IF($J199=0,"",IF(INDEX('Прайс и заказ'!B:B,$J199)="","",INDEX('Прайс и заказ'!B:B,$J199)))</f>
      </c>
      <c r="C199" s="64" t="str">
        <f>IF($J199=0,"",IF(INDEX('Прайс и заказ'!C:C,$J199)="","",INDEX('Прайс и заказ'!C:C,$J199)))</f>
      </c>
      <c r="D199" s="64" t="str">
        <f>IF($J199=0,"",IF(INDEX('Прайс и заказ'!D:D,$J199)="","",INDEX('Прайс и заказ'!D:D,$J199)))</f>
      </c>
      <c r="E199" s="61" t="str">
        <f>IF($J199=0,"",IF(INDEX('Прайс и заказ'!F:F,$J199)="","",INDEX('Прайс и заказ'!F:F,$J199)))</f>
      </c>
      <c r="F199" s="62" t="str">
        <f>IF($J199=0,"",IF(INDEX('Прайс и заказ'!I:I,$J199)="","",INDEX('Прайс и заказ'!I:I,$J199)))</f>
      </c>
      <c r="G199" s="63" t="str">
        <f>IF($J199=0,"",IF(INDEX('Прайс и заказ'!K:K,$J199)="","",INDEX('Прайс и заказ'!K:K,$J199)))</f>
      </c>
      <c r="H199" s="62" t="str">
        <f>IF($J199=0,"",IF(INDEX('Прайс и заказ'!L:L,$J199)="","",INDEX('Прайс и заказ'!L:L,$J199)))</f>
      </c>
      <c r="I199" s="13" t="str">
        <f>IF($J199=0,"",IF(INDEX('Прайс и заказ'!M:M,$J199)="","",INDEX('Прайс и заказ'!M:M,$J199)))</f>
      </c>
      <c r="J199" t="str">
        <f>IFERROR(MATCH(191,'Прайс и заказ'!$N$7:$N$244,0)+6,0)</f>
      </c>
      <c r="L199" t="str">
        <f>IF($J199=0,"",IF(INDEX('Прайс и заказ'!Q:Q,$J199)="","",INDEX('Прайс и заказ'!Q:Q,$J199)))</f>
      </c>
    </row>
    <row r="200" spans="1:12" customHeight="1" ht="40">
      <c r="A200" s="13" t="str">
        <f>IF($J200=0,"",IFERROR(_xlfn.IMAGE(INDEX('Прайс и заказ'!$O:$O,$J200)),""))</f>
      </c>
      <c r="B200" s="61" t="str">
        <f>IF($J200=0,"",IF(INDEX('Прайс и заказ'!B:B,$J200)="","",INDEX('Прайс и заказ'!B:B,$J200)))</f>
      </c>
      <c r="C200" s="64" t="str">
        <f>IF($J200=0,"",IF(INDEX('Прайс и заказ'!C:C,$J200)="","",INDEX('Прайс и заказ'!C:C,$J200)))</f>
      </c>
      <c r="D200" s="64" t="str">
        <f>IF($J200=0,"",IF(INDEX('Прайс и заказ'!D:D,$J200)="","",INDEX('Прайс и заказ'!D:D,$J200)))</f>
      </c>
      <c r="E200" s="61" t="str">
        <f>IF($J200=0,"",IF(INDEX('Прайс и заказ'!F:F,$J200)="","",INDEX('Прайс и заказ'!F:F,$J200)))</f>
      </c>
      <c r="F200" s="62" t="str">
        <f>IF($J200=0,"",IF(INDEX('Прайс и заказ'!I:I,$J200)="","",INDEX('Прайс и заказ'!I:I,$J200)))</f>
      </c>
      <c r="G200" s="63" t="str">
        <f>IF($J200=0,"",IF(INDEX('Прайс и заказ'!K:K,$J200)="","",INDEX('Прайс и заказ'!K:K,$J200)))</f>
      </c>
      <c r="H200" s="62" t="str">
        <f>IF($J200=0,"",IF(INDEX('Прайс и заказ'!L:L,$J200)="","",INDEX('Прайс и заказ'!L:L,$J200)))</f>
      </c>
      <c r="I200" s="13" t="str">
        <f>IF($J200=0,"",IF(INDEX('Прайс и заказ'!M:M,$J200)="","",INDEX('Прайс и заказ'!M:M,$J200)))</f>
      </c>
      <c r="J200" t="str">
        <f>IFERROR(MATCH(192,'Прайс и заказ'!$N$7:$N$244,0)+6,0)</f>
      </c>
      <c r="L200" t="str">
        <f>IF($J200=0,"",IF(INDEX('Прайс и заказ'!Q:Q,$J200)="","",INDEX('Прайс и заказ'!Q:Q,$J200)))</f>
      </c>
    </row>
    <row r="201" spans="1:12" customHeight="1" ht="40">
      <c r="A201" s="13" t="str">
        <f>IF($J201=0,"",IFERROR(_xlfn.IMAGE(INDEX('Прайс и заказ'!$O:$O,$J201)),""))</f>
      </c>
      <c r="B201" s="61" t="str">
        <f>IF($J201=0,"",IF(INDEX('Прайс и заказ'!B:B,$J201)="","",INDEX('Прайс и заказ'!B:B,$J201)))</f>
      </c>
      <c r="C201" s="64" t="str">
        <f>IF($J201=0,"",IF(INDEX('Прайс и заказ'!C:C,$J201)="","",INDEX('Прайс и заказ'!C:C,$J201)))</f>
      </c>
      <c r="D201" s="64" t="str">
        <f>IF($J201=0,"",IF(INDEX('Прайс и заказ'!D:D,$J201)="","",INDEX('Прайс и заказ'!D:D,$J201)))</f>
      </c>
      <c r="E201" s="61" t="str">
        <f>IF($J201=0,"",IF(INDEX('Прайс и заказ'!F:F,$J201)="","",INDEX('Прайс и заказ'!F:F,$J201)))</f>
      </c>
      <c r="F201" s="62" t="str">
        <f>IF($J201=0,"",IF(INDEX('Прайс и заказ'!I:I,$J201)="","",INDEX('Прайс и заказ'!I:I,$J201)))</f>
      </c>
      <c r="G201" s="63" t="str">
        <f>IF($J201=0,"",IF(INDEX('Прайс и заказ'!K:K,$J201)="","",INDEX('Прайс и заказ'!K:K,$J201)))</f>
      </c>
      <c r="H201" s="62" t="str">
        <f>IF($J201=0,"",IF(INDEX('Прайс и заказ'!L:L,$J201)="","",INDEX('Прайс и заказ'!L:L,$J201)))</f>
      </c>
      <c r="I201" s="13" t="str">
        <f>IF($J201=0,"",IF(INDEX('Прайс и заказ'!M:M,$J201)="","",INDEX('Прайс и заказ'!M:M,$J201)))</f>
      </c>
      <c r="J201" t="str">
        <f>IFERROR(MATCH(193,'Прайс и заказ'!$N$7:$N$244,0)+6,0)</f>
      </c>
      <c r="L201" t="str">
        <f>IF($J201=0,"",IF(INDEX('Прайс и заказ'!Q:Q,$J201)="","",INDEX('Прайс и заказ'!Q:Q,$J201)))</f>
      </c>
    </row>
    <row r="202" spans="1:12" customHeight="1" ht="40">
      <c r="A202" s="13" t="str">
        <f>IF($J202=0,"",IFERROR(_xlfn.IMAGE(INDEX('Прайс и заказ'!$O:$O,$J202)),""))</f>
      </c>
      <c r="B202" s="61" t="str">
        <f>IF($J202=0,"",IF(INDEX('Прайс и заказ'!B:B,$J202)="","",INDEX('Прайс и заказ'!B:B,$J202)))</f>
      </c>
      <c r="C202" s="64" t="str">
        <f>IF($J202=0,"",IF(INDEX('Прайс и заказ'!C:C,$J202)="","",INDEX('Прайс и заказ'!C:C,$J202)))</f>
      </c>
      <c r="D202" s="64" t="str">
        <f>IF($J202=0,"",IF(INDEX('Прайс и заказ'!D:D,$J202)="","",INDEX('Прайс и заказ'!D:D,$J202)))</f>
      </c>
      <c r="E202" s="61" t="str">
        <f>IF($J202=0,"",IF(INDEX('Прайс и заказ'!F:F,$J202)="","",INDEX('Прайс и заказ'!F:F,$J202)))</f>
      </c>
      <c r="F202" s="62" t="str">
        <f>IF($J202=0,"",IF(INDEX('Прайс и заказ'!I:I,$J202)="","",INDEX('Прайс и заказ'!I:I,$J202)))</f>
      </c>
      <c r="G202" s="63" t="str">
        <f>IF($J202=0,"",IF(INDEX('Прайс и заказ'!K:K,$J202)="","",INDEX('Прайс и заказ'!K:K,$J202)))</f>
      </c>
      <c r="H202" s="62" t="str">
        <f>IF($J202=0,"",IF(INDEX('Прайс и заказ'!L:L,$J202)="","",INDEX('Прайс и заказ'!L:L,$J202)))</f>
      </c>
      <c r="I202" s="13" t="str">
        <f>IF($J202=0,"",IF(INDEX('Прайс и заказ'!M:M,$J202)="","",INDEX('Прайс и заказ'!M:M,$J202)))</f>
      </c>
      <c r="J202" t="str">
        <f>IFERROR(MATCH(194,'Прайс и заказ'!$N$7:$N$244,0)+6,0)</f>
      </c>
      <c r="L202" t="str">
        <f>IF($J202=0,"",IF(INDEX('Прайс и заказ'!Q:Q,$J202)="","",INDEX('Прайс и заказ'!Q:Q,$J202)))</f>
      </c>
    </row>
    <row r="203" spans="1:12" customHeight="1" ht="40">
      <c r="A203" s="13" t="str">
        <f>IF($J203=0,"",IFERROR(_xlfn.IMAGE(INDEX('Прайс и заказ'!$O:$O,$J203)),""))</f>
      </c>
      <c r="B203" s="61" t="str">
        <f>IF($J203=0,"",IF(INDEX('Прайс и заказ'!B:B,$J203)="","",INDEX('Прайс и заказ'!B:B,$J203)))</f>
      </c>
      <c r="C203" s="64" t="str">
        <f>IF($J203=0,"",IF(INDEX('Прайс и заказ'!C:C,$J203)="","",INDEX('Прайс и заказ'!C:C,$J203)))</f>
      </c>
      <c r="D203" s="64" t="str">
        <f>IF($J203=0,"",IF(INDEX('Прайс и заказ'!D:D,$J203)="","",INDEX('Прайс и заказ'!D:D,$J203)))</f>
      </c>
      <c r="E203" s="61" t="str">
        <f>IF($J203=0,"",IF(INDEX('Прайс и заказ'!F:F,$J203)="","",INDEX('Прайс и заказ'!F:F,$J203)))</f>
      </c>
      <c r="F203" s="62" t="str">
        <f>IF($J203=0,"",IF(INDEX('Прайс и заказ'!I:I,$J203)="","",INDEX('Прайс и заказ'!I:I,$J203)))</f>
      </c>
      <c r="G203" s="63" t="str">
        <f>IF($J203=0,"",IF(INDEX('Прайс и заказ'!K:K,$J203)="","",INDEX('Прайс и заказ'!K:K,$J203)))</f>
      </c>
      <c r="H203" s="62" t="str">
        <f>IF($J203=0,"",IF(INDEX('Прайс и заказ'!L:L,$J203)="","",INDEX('Прайс и заказ'!L:L,$J203)))</f>
      </c>
      <c r="I203" s="13" t="str">
        <f>IF($J203=0,"",IF(INDEX('Прайс и заказ'!M:M,$J203)="","",INDEX('Прайс и заказ'!M:M,$J203)))</f>
      </c>
      <c r="J203" t="str">
        <f>IFERROR(MATCH(195,'Прайс и заказ'!$N$7:$N$244,0)+6,0)</f>
      </c>
      <c r="L203" t="str">
        <f>IF($J203=0,"",IF(INDEX('Прайс и заказ'!Q:Q,$J203)="","",INDEX('Прайс и заказ'!Q:Q,$J203)))</f>
      </c>
    </row>
    <row r="204" spans="1:12" customHeight="1" ht="40">
      <c r="A204" s="13" t="str">
        <f>IF($J204=0,"",IFERROR(_xlfn.IMAGE(INDEX('Прайс и заказ'!$O:$O,$J204)),""))</f>
      </c>
      <c r="B204" s="61" t="str">
        <f>IF($J204=0,"",IF(INDEX('Прайс и заказ'!B:B,$J204)="","",INDEX('Прайс и заказ'!B:B,$J204)))</f>
      </c>
      <c r="C204" s="64" t="str">
        <f>IF($J204=0,"",IF(INDEX('Прайс и заказ'!C:C,$J204)="","",INDEX('Прайс и заказ'!C:C,$J204)))</f>
      </c>
      <c r="D204" s="64" t="str">
        <f>IF($J204=0,"",IF(INDEX('Прайс и заказ'!D:D,$J204)="","",INDEX('Прайс и заказ'!D:D,$J204)))</f>
      </c>
      <c r="E204" s="61" t="str">
        <f>IF($J204=0,"",IF(INDEX('Прайс и заказ'!F:F,$J204)="","",INDEX('Прайс и заказ'!F:F,$J204)))</f>
      </c>
      <c r="F204" s="62" t="str">
        <f>IF($J204=0,"",IF(INDEX('Прайс и заказ'!I:I,$J204)="","",INDEX('Прайс и заказ'!I:I,$J204)))</f>
      </c>
      <c r="G204" s="63" t="str">
        <f>IF($J204=0,"",IF(INDEX('Прайс и заказ'!K:K,$J204)="","",INDEX('Прайс и заказ'!K:K,$J204)))</f>
      </c>
      <c r="H204" s="62" t="str">
        <f>IF($J204=0,"",IF(INDEX('Прайс и заказ'!L:L,$J204)="","",INDEX('Прайс и заказ'!L:L,$J204)))</f>
      </c>
      <c r="I204" s="13" t="str">
        <f>IF($J204=0,"",IF(INDEX('Прайс и заказ'!M:M,$J204)="","",INDEX('Прайс и заказ'!M:M,$J204)))</f>
      </c>
      <c r="J204" t="str">
        <f>IFERROR(MATCH(196,'Прайс и заказ'!$N$7:$N$244,0)+6,0)</f>
      </c>
      <c r="L204" t="str">
        <f>IF($J204=0,"",IF(INDEX('Прайс и заказ'!Q:Q,$J204)="","",INDEX('Прайс и заказ'!Q:Q,$J204)))</f>
      </c>
    </row>
    <row r="205" spans="1:12" customHeight="1" ht="40">
      <c r="A205" s="13" t="str">
        <f>IF($J205=0,"",IFERROR(_xlfn.IMAGE(INDEX('Прайс и заказ'!$O:$O,$J205)),""))</f>
      </c>
      <c r="B205" s="61" t="str">
        <f>IF($J205=0,"",IF(INDEX('Прайс и заказ'!B:B,$J205)="","",INDEX('Прайс и заказ'!B:B,$J205)))</f>
      </c>
      <c r="C205" s="64" t="str">
        <f>IF($J205=0,"",IF(INDEX('Прайс и заказ'!C:C,$J205)="","",INDEX('Прайс и заказ'!C:C,$J205)))</f>
      </c>
      <c r="D205" s="64" t="str">
        <f>IF($J205=0,"",IF(INDEX('Прайс и заказ'!D:D,$J205)="","",INDEX('Прайс и заказ'!D:D,$J205)))</f>
      </c>
      <c r="E205" s="61" t="str">
        <f>IF($J205=0,"",IF(INDEX('Прайс и заказ'!F:F,$J205)="","",INDEX('Прайс и заказ'!F:F,$J205)))</f>
      </c>
      <c r="F205" s="62" t="str">
        <f>IF($J205=0,"",IF(INDEX('Прайс и заказ'!I:I,$J205)="","",INDEX('Прайс и заказ'!I:I,$J205)))</f>
      </c>
      <c r="G205" s="63" t="str">
        <f>IF($J205=0,"",IF(INDEX('Прайс и заказ'!K:K,$J205)="","",INDEX('Прайс и заказ'!K:K,$J205)))</f>
      </c>
      <c r="H205" s="62" t="str">
        <f>IF($J205=0,"",IF(INDEX('Прайс и заказ'!L:L,$J205)="","",INDEX('Прайс и заказ'!L:L,$J205)))</f>
      </c>
      <c r="I205" s="13" t="str">
        <f>IF($J205=0,"",IF(INDEX('Прайс и заказ'!M:M,$J205)="","",INDEX('Прайс и заказ'!M:M,$J205)))</f>
      </c>
      <c r="J205" t="str">
        <f>IFERROR(MATCH(197,'Прайс и заказ'!$N$7:$N$244,0)+6,0)</f>
      </c>
      <c r="L205" t="str">
        <f>IF($J205=0,"",IF(INDEX('Прайс и заказ'!Q:Q,$J205)="","",INDEX('Прайс и заказ'!Q:Q,$J205)))</f>
      </c>
    </row>
    <row r="206" spans="1:12" customHeight="1" ht="40">
      <c r="A206" s="13" t="str">
        <f>IF($J206=0,"",IFERROR(_xlfn.IMAGE(INDEX('Прайс и заказ'!$O:$O,$J206)),""))</f>
      </c>
      <c r="B206" s="61" t="str">
        <f>IF($J206=0,"",IF(INDEX('Прайс и заказ'!B:B,$J206)="","",INDEX('Прайс и заказ'!B:B,$J206)))</f>
      </c>
      <c r="C206" s="64" t="str">
        <f>IF($J206=0,"",IF(INDEX('Прайс и заказ'!C:C,$J206)="","",INDEX('Прайс и заказ'!C:C,$J206)))</f>
      </c>
      <c r="D206" s="64" t="str">
        <f>IF($J206=0,"",IF(INDEX('Прайс и заказ'!D:D,$J206)="","",INDEX('Прайс и заказ'!D:D,$J206)))</f>
      </c>
      <c r="E206" s="61" t="str">
        <f>IF($J206=0,"",IF(INDEX('Прайс и заказ'!F:F,$J206)="","",INDEX('Прайс и заказ'!F:F,$J206)))</f>
      </c>
      <c r="F206" s="62" t="str">
        <f>IF($J206=0,"",IF(INDEX('Прайс и заказ'!I:I,$J206)="","",INDEX('Прайс и заказ'!I:I,$J206)))</f>
      </c>
      <c r="G206" s="63" t="str">
        <f>IF($J206=0,"",IF(INDEX('Прайс и заказ'!K:K,$J206)="","",INDEX('Прайс и заказ'!K:K,$J206)))</f>
      </c>
      <c r="H206" s="62" t="str">
        <f>IF($J206=0,"",IF(INDEX('Прайс и заказ'!L:L,$J206)="","",INDEX('Прайс и заказ'!L:L,$J206)))</f>
      </c>
      <c r="I206" s="13" t="str">
        <f>IF($J206=0,"",IF(INDEX('Прайс и заказ'!M:M,$J206)="","",INDEX('Прайс и заказ'!M:M,$J206)))</f>
      </c>
      <c r="J206" t="str">
        <f>IFERROR(MATCH(198,'Прайс и заказ'!$N$7:$N$244,0)+6,0)</f>
      </c>
      <c r="L206" t="str">
        <f>IF($J206=0,"",IF(INDEX('Прайс и заказ'!Q:Q,$J206)="","",INDEX('Прайс и заказ'!Q:Q,$J206)))</f>
      </c>
    </row>
    <row r="207" spans="1:12" customHeight="1" ht="40">
      <c r="A207" s="13" t="str">
        <f>IF($J207=0,"",IFERROR(_xlfn.IMAGE(INDEX('Прайс и заказ'!$O:$O,$J207)),""))</f>
      </c>
      <c r="B207" s="61" t="str">
        <f>IF($J207=0,"",IF(INDEX('Прайс и заказ'!B:B,$J207)="","",INDEX('Прайс и заказ'!B:B,$J207)))</f>
      </c>
      <c r="C207" s="64" t="str">
        <f>IF($J207=0,"",IF(INDEX('Прайс и заказ'!C:C,$J207)="","",INDEX('Прайс и заказ'!C:C,$J207)))</f>
      </c>
      <c r="D207" s="64" t="str">
        <f>IF($J207=0,"",IF(INDEX('Прайс и заказ'!D:D,$J207)="","",INDEX('Прайс и заказ'!D:D,$J207)))</f>
      </c>
      <c r="E207" s="61" t="str">
        <f>IF($J207=0,"",IF(INDEX('Прайс и заказ'!F:F,$J207)="","",INDEX('Прайс и заказ'!F:F,$J207)))</f>
      </c>
      <c r="F207" s="62" t="str">
        <f>IF($J207=0,"",IF(INDEX('Прайс и заказ'!I:I,$J207)="","",INDEX('Прайс и заказ'!I:I,$J207)))</f>
      </c>
      <c r="G207" s="63" t="str">
        <f>IF($J207=0,"",IF(INDEX('Прайс и заказ'!K:K,$J207)="","",INDEX('Прайс и заказ'!K:K,$J207)))</f>
      </c>
      <c r="H207" s="62" t="str">
        <f>IF($J207=0,"",IF(INDEX('Прайс и заказ'!L:L,$J207)="","",INDEX('Прайс и заказ'!L:L,$J207)))</f>
      </c>
      <c r="I207" s="13" t="str">
        <f>IF($J207=0,"",IF(INDEX('Прайс и заказ'!M:M,$J207)="","",INDEX('Прайс и заказ'!M:M,$J207)))</f>
      </c>
      <c r="J207" t="str">
        <f>IFERROR(MATCH(199,'Прайс и заказ'!$N$7:$N$244,0)+6,0)</f>
      </c>
      <c r="L207" t="str">
        <f>IF($J207=0,"",IF(INDEX('Прайс и заказ'!Q:Q,$J207)="","",INDEX('Прайс и заказ'!Q:Q,$J207)))</f>
      </c>
    </row>
    <row r="208" spans="1:12" customHeight="1" ht="40">
      <c r="A208" s="13" t="str">
        <f>IF($J208=0,"",IFERROR(_xlfn.IMAGE(INDEX('Прайс и заказ'!$O:$O,$J208)),""))</f>
      </c>
      <c r="B208" s="61" t="str">
        <f>IF($J208=0,"",IF(INDEX('Прайс и заказ'!B:B,$J208)="","",INDEX('Прайс и заказ'!B:B,$J208)))</f>
      </c>
      <c r="C208" s="64" t="str">
        <f>IF($J208=0,"",IF(INDEX('Прайс и заказ'!C:C,$J208)="","",INDEX('Прайс и заказ'!C:C,$J208)))</f>
      </c>
      <c r="D208" s="64" t="str">
        <f>IF($J208=0,"",IF(INDEX('Прайс и заказ'!D:D,$J208)="","",INDEX('Прайс и заказ'!D:D,$J208)))</f>
      </c>
      <c r="E208" s="61" t="str">
        <f>IF($J208=0,"",IF(INDEX('Прайс и заказ'!F:F,$J208)="","",INDEX('Прайс и заказ'!F:F,$J208)))</f>
      </c>
      <c r="F208" s="62" t="str">
        <f>IF($J208=0,"",IF(INDEX('Прайс и заказ'!I:I,$J208)="","",INDEX('Прайс и заказ'!I:I,$J208)))</f>
      </c>
      <c r="G208" s="63" t="str">
        <f>IF($J208=0,"",IF(INDEX('Прайс и заказ'!K:K,$J208)="","",INDEX('Прайс и заказ'!K:K,$J208)))</f>
      </c>
      <c r="H208" s="62" t="str">
        <f>IF($J208=0,"",IF(INDEX('Прайс и заказ'!L:L,$J208)="","",INDEX('Прайс и заказ'!L:L,$J208)))</f>
      </c>
      <c r="I208" s="13" t="str">
        <f>IF($J208=0,"",IF(INDEX('Прайс и заказ'!M:M,$J208)="","",INDEX('Прайс и заказ'!M:M,$J208)))</f>
      </c>
      <c r="J208" t="str">
        <f>IFERROR(MATCH(200,'Прайс и заказ'!$N$7:$N$244,0)+6,0)</f>
      </c>
      <c r="L208" t="str">
        <f>IF($J208=0,"",IF(INDEX('Прайс и заказ'!Q:Q,$J208)="","",INDEX('Прайс и заказ'!Q:Q,$J208)))</f>
      </c>
    </row>
    <row r="209" spans="1:12" customHeight="1" ht="40">
      <c r="A209" s="13" t="str">
        <f>IF($J209=0,"",IFERROR(_xlfn.IMAGE(INDEX('Прайс и заказ'!$O:$O,$J209)),""))</f>
      </c>
      <c r="B209" s="61" t="str">
        <f>IF($J209=0,"",IF(INDEX('Прайс и заказ'!B:B,$J209)="","",INDEX('Прайс и заказ'!B:B,$J209)))</f>
      </c>
      <c r="C209" s="64" t="str">
        <f>IF($J209=0,"",IF(INDEX('Прайс и заказ'!C:C,$J209)="","",INDEX('Прайс и заказ'!C:C,$J209)))</f>
      </c>
      <c r="D209" s="64" t="str">
        <f>IF($J209=0,"",IF(INDEX('Прайс и заказ'!D:D,$J209)="","",INDEX('Прайс и заказ'!D:D,$J209)))</f>
      </c>
      <c r="E209" s="61" t="str">
        <f>IF($J209=0,"",IF(INDEX('Прайс и заказ'!F:F,$J209)="","",INDEX('Прайс и заказ'!F:F,$J209)))</f>
      </c>
      <c r="F209" s="62" t="str">
        <f>IF($J209=0,"",IF(INDEX('Прайс и заказ'!I:I,$J209)="","",INDEX('Прайс и заказ'!I:I,$J209)))</f>
      </c>
      <c r="G209" s="63" t="str">
        <f>IF($J209=0,"",IF(INDEX('Прайс и заказ'!K:K,$J209)="","",INDEX('Прайс и заказ'!K:K,$J209)))</f>
      </c>
      <c r="H209" s="62" t="str">
        <f>IF($J209=0,"",IF(INDEX('Прайс и заказ'!L:L,$J209)="","",INDEX('Прайс и заказ'!L:L,$J209)))</f>
      </c>
      <c r="I209" s="13" t="str">
        <f>IF($J209=0,"",IF(INDEX('Прайс и заказ'!M:M,$J209)="","",INDEX('Прайс и заказ'!M:M,$J209)))</f>
      </c>
      <c r="J209" t="str">
        <f>IFERROR(MATCH(201,'Прайс и заказ'!$N$7:$N$244,0)+6,0)</f>
      </c>
      <c r="L209" t="str">
        <f>IF($J209=0,"",IF(INDEX('Прайс и заказ'!Q:Q,$J209)="","",INDEX('Прайс и заказ'!Q:Q,$J209)))</f>
      </c>
    </row>
    <row r="210" spans="1:12" customHeight="1" ht="40">
      <c r="A210" s="13" t="str">
        <f>IF($J210=0,"",IFERROR(_xlfn.IMAGE(INDEX('Прайс и заказ'!$O:$O,$J210)),""))</f>
      </c>
      <c r="B210" s="61" t="str">
        <f>IF($J210=0,"",IF(INDEX('Прайс и заказ'!B:B,$J210)="","",INDEX('Прайс и заказ'!B:B,$J210)))</f>
      </c>
      <c r="C210" s="64" t="str">
        <f>IF($J210=0,"",IF(INDEX('Прайс и заказ'!C:C,$J210)="","",INDEX('Прайс и заказ'!C:C,$J210)))</f>
      </c>
      <c r="D210" s="64" t="str">
        <f>IF($J210=0,"",IF(INDEX('Прайс и заказ'!D:D,$J210)="","",INDEX('Прайс и заказ'!D:D,$J210)))</f>
      </c>
      <c r="E210" s="61" t="str">
        <f>IF($J210=0,"",IF(INDEX('Прайс и заказ'!F:F,$J210)="","",INDEX('Прайс и заказ'!F:F,$J210)))</f>
      </c>
      <c r="F210" s="62" t="str">
        <f>IF($J210=0,"",IF(INDEX('Прайс и заказ'!I:I,$J210)="","",INDEX('Прайс и заказ'!I:I,$J210)))</f>
      </c>
      <c r="G210" s="63" t="str">
        <f>IF($J210=0,"",IF(INDEX('Прайс и заказ'!K:K,$J210)="","",INDEX('Прайс и заказ'!K:K,$J210)))</f>
      </c>
      <c r="H210" s="62" t="str">
        <f>IF($J210=0,"",IF(INDEX('Прайс и заказ'!L:L,$J210)="","",INDEX('Прайс и заказ'!L:L,$J210)))</f>
      </c>
      <c r="I210" s="13" t="str">
        <f>IF($J210=0,"",IF(INDEX('Прайс и заказ'!M:M,$J210)="","",INDEX('Прайс и заказ'!M:M,$J210)))</f>
      </c>
      <c r="J210" t="str">
        <f>IFERROR(MATCH(202,'Прайс и заказ'!$N$7:$N$244,0)+6,0)</f>
      </c>
      <c r="L210" t="str">
        <f>IF($J210=0,"",IF(INDEX('Прайс и заказ'!Q:Q,$J210)="","",INDEX('Прайс и заказ'!Q:Q,$J210)))</f>
      </c>
    </row>
    <row r="211" spans="1:12" customHeight="1" ht="40">
      <c r="A211" s="13" t="str">
        <f>IF($J211=0,"",IFERROR(_xlfn.IMAGE(INDEX('Прайс и заказ'!$O:$O,$J211)),""))</f>
      </c>
      <c r="B211" s="61" t="str">
        <f>IF($J211=0,"",IF(INDEX('Прайс и заказ'!B:B,$J211)="","",INDEX('Прайс и заказ'!B:B,$J211)))</f>
      </c>
      <c r="C211" s="64" t="str">
        <f>IF($J211=0,"",IF(INDEX('Прайс и заказ'!C:C,$J211)="","",INDEX('Прайс и заказ'!C:C,$J211)))</f>
      </c>
      <c r="D211" s="64" t="str">
        <f>IF($J211=0,"",IF(INDEX('Прайс и заказ'!D:D,$J211)="","",INDEX('Прайс и заказ'!D:D,$J211)))</f>
      </c>
      <c r="E211" s="61" t="str">
        <f>IF($J211=0,"",IF(INDEX('Прайс и заказ'!F:F,$J211)="","",INDEX('Прайс и заказ'!F:F,$J211)))</f>
      </c>
      <c r="F211" s="62" t="str">
        <f>IF($J211=0,"",IF(INDEX('Прайс и заказ'!I:I,$J211)="","",INDEX('Прайс и заказ'!I:I,$J211)))</f>
      </c>
      <c r="G211" s="63" t="str">
        <f>IF($J211=0,"",IF(INDEX('Прайс и заказ'!K:K,$J211)="","",INDEX('Прайс и заказ'!K:K,$J211)))</f>
      </c>
      <c r="H211" s="62" t="str">
        <f>IF($J211=0,"",IF(INDEX('Прайс и заказ'!L:L,$J211)="","",INDEX('Прайс и заказ'!L:L,$J211)))</f>
      </c>
      <c r="I211" s="13" t="str">
        <f>IF($J211=0,"",IF(INDEX('Прайс и заказ'!M:M,$J211)="","",INDEX('Прайс и заказ'!M:M,$J211)))</f>
      </c>
      <c r="J211" t="str">
        <f>IFERROR(MATCH(203,'Прайс и заказ'!$N$7:$N$244,0)+6,0)</f>
      </c>
      <c r="L211" t="str">
        <f>IF($J211=0,"",IF(INDEX('Прайс и заказ'!Q:Q,$J211)="","",INDEX('Прайс и заказ'!Q:Q,$J211)))</f>
      </c>
    </row>
    <row r="212" spans="1:12" customHeight="1" ht="40">
      <c r="A212" s="13" t="str">
        <f>IF($J212=0,"",IFERROR(_xlfn.IMAGE(INDEX('Прайс и заказ'!$O:$O,$J212)),""))</f>
      </c>
      <c r="B212" s="61" t="str">
        <f>IF($J212=0,"",IF(INDEX('Прайс и заказ'!B:B,$J212)="","",INDEX('Прайс и заказ'!B:B,$J212)))</f>
      </c>
      <c r="C212" s="64" t="str">
        <f>IF($J212=0,"",IF(INDEX('Прайс и заказ'!C:C,$J212)="","",INDEX('Прайс и заказ'!C:C,$J212)))</f>
      </c>
      <c r="D212" s="64" t="str">
        <f>IF($J212=0,"",IF(INDEX('Прайс и заказ'!D:D,$J212)="","",INDEX('Прайс и заказ'!D:D,$J212)))</f>
      </c>
      <c r="E212" s="61" t="str">
        <f>IF($J212=0,"",IF(INDEX('Прайс и заказ'!F:F,$J212)="","",INDEX('Прайс и заказ'!F:F,$J212)))</f>
      </c>
      <c r="F212" s="62" t="str">
        <f>IF($J212=0,"",IF(INDEX('Прайс и заказ'!I:I,$J212)="","",INDEX('Прайс и заказ'!I:I,$J212)))</f>
      </c>
      <c r="G212" s="63" t="str">
        <f>IF($J212=0,"",IF(INDEX('Прайс и заказ'!K:K,$J212)="","",INDEX('Прайс и заказ'!K:K,$J212)))</f>
      </c>
      <c r="H212" s="62" t="str">
        <f>IF($J212=0,"",IF(INDEX('Прайс и заказ'!L:L,$J212)="","",INDEX('Прайс и заказ'!L:L,$J212)))</f>
      </c>
      <c r="I212" s="13" t="str">
        <f>IF($J212=0,"",IF(INDEX('Прайс и заказ'!M:M,$J212)="","",INDEX('Прайс и заказ'!M:M,$J212)))</f>
      </c>
      <c r="J212" t="str">
        <f>IFERROR(MATCH(204,'Прайс и заказ'!$N$7:$N$244,0)+6,0)</f>
      </c>
      <c r="L212" t="str">
        <f>IF($J212=0,"",IF(INDEX('Прайс и заказ'!Q:Q,$J212)="","",INDEX('Прайс и заказ'!Q:Q,$J212)))</f>
      </c>
    </row>
    <row r="213" spans="1:12" customHeight="1" ht="40">
      <c r="A213" s="13" t="str">
        <f>IF($J213=0,"",IFERROR(_xlfn.IMAGE(INDEX('Прайс и заказ'!$O:$O,$J213)),""))</f>
      </c>
      <c r="B213" s="61" t="str">
        <f>IF($J213=0,"",IF(INDEX('Прайс и заказ'!B:B,$J213)="","",INDEX('Прайс и заказ'!B:B,$J213)))</f>
      </c>
      <c r="C213" s="64" t="str">
        <f>IF($J213=0,"",IF(INDEX('Прайс и заказ'!C:C,$J213)="","",INDEX('Прайс и заказ'!C:C,$J213)))</f>
      </c>
      <c r="D213" s="64" t="str">
        <f>IF($J213=0,"",IF(INDEX('Прайс и заказ'!D:D,$J213)="","",INDEX('Прайс и заказ'!D:D,$J213)))</f>
      </c>
      <c r="E213" s="61" t="str">
        <f>IF($J213=0,"",IF(INDEX('Прайс и заказ'!F:F,$J213)="","",INDEX('Прайс и заказ'!F:F,$J213)))</f>
      </c>
      <c r="F213" s="62" t="str">
        <f>IF($J213=0,"",IF(INDEX('Прайс и заказ'!I:I,$J213)="","",INDEX('Прайс и заказ'!I:I,$J213)))</f>
      </c>
      <c r="G213" s="63" t="str">
        <f>IF($J213=0,"",IF(INDEX('Прайс и заказ'!K:K,$J213)="","",INDEX('Прайс и заказ'!K:K,$J213)))</f>
      </c>
      <c r="H213" s="62" t="str">
        <f>IF($J213=0,"",IF(INDEX('Прайс и заказ'!L:L,$J213)="","",INDEX('Прайс и заказ'!L:L,$J213)))</f>
      </c>
      <c r="I213" s="13" t="str">
        <f>IF($J213=0,"",IF(INDEX('Прайс и заказ'!M:M,$J213)="","",INDEX('Прайс и заказ'!M:M,$J213)))</f>
      </c>
      <c r="J213" t="str">
        <f>IFERROR(MATCH(205,'Прайс и заказ'!$N$7:$N$244,0)+6,0)</f>
      </c>
      <c r="L213" t="str">
        <f>IF($J213=0,"",IF(INDEX('Прайс и заказ'!Q:Q,$J213)="","",INDEX('Прайс и заказ'!Q:Q,$J213)))</f>
      </c>
    </row>
    <row r="214" spans="1:12" customHeight="1" ht="40">
      <c r="A214" s="13" t="str">
        <f>IF($J214=0,"",IFERROR(_xlfn.IMAGE(INDEX('Прайс и заказ'!$O:$O,$J214)),""))</f>
      </c>
      <c r="B214" s="61" t="str">
        <f>IF($J214=0,"",IF(INDEX('Прайс и заказ'!B:B,$J214)="","",INDEX('Прайс и заказ'!B:B,$J214)))</f>
      </c>
      <c r="C214" s="64" t="str">
        <f>IF($J214=0,"",IF(INDEX('Прайс и заказ'!C:C,$J214)="","",INDEX('Прайс и заказ'!C:C,$J214)))</f>
      </c>
      <c r="D214" s="64" t="str">
        <f>IF($J214=0,"",IF(INDEX('Прайс и заказ'!D:D,$J214)="","",INDEX('Прайс и заказ'!D:D,$J214)))</f>
      </c>
      <c r="E214" s="61" t="str">
        <f>IF($J214=0,"",IF(INDEX('Прайс и заказ'!F:F,$J214)="","",INDEX('Прайс и заказ'!F:F,$J214)))</f>
      </c>
      <c r="F214" s="62" t="str">
        <f>IF($J214=0,"",IF(INDEX('Прайс и заказ'!I:I,$J214)="","",INDEX('Прайс и заказ'!I:I,$J214)))</f>
      </c>
      <c r="G214" s="63" t="str">
        <f>IF($J214=0,"",IF(INDEX('Прайс и заказ'!K:K,$J214)="","",INDEX('Прайс и заказ'!K:K,$J214)))</f>
      </c>
      <c r="H214" s="62" t="str">
        <f>IF($J214=0,"",IF(INDEX('Прайс и заказ'!L:L,$J214)="","",INDEX('Прайс и заказ'!L:L,$J214)))</f>
      </c>
      <c r="I214" s="13" t="str">
        <f>IF($J214=0,"",IF(INDEX('Прайс и заказ'!M:M,$J214)="","",INDEX('Прайс и заказ'!M:M,$J214)))</f>
      </c>
      <c r="J214" t="str">
        <f>IFERROR(MATCH(206,'Прайс и заказ'!$N$7:$N$244,0)+6,0)</f>
      </c>
      <c r="L214" t="str">
        <f>IF($J214=0,"",IF(INDEX('Прайс и заказ'!Q:Q,$J214)="","",INDEX('Прайс и заказ'!Q:Q,$J214)))</f>
      </c>
    </row>
    <row r="215" spans="1:12" customHeight="1" ht="40">
      <c r="A215" s="13" t="str">
        <f>IF($J215=0,"",IFERROR(_xlfn.IMAGE(INDEX('Прайс и заказ'!$O:$O,$J215)),""))</f>
      </c>
      <c r="B215" s="61" t="str">
        <f>IF($J215=0,"",IF(INDEX('Прайс и заказ'!B:B,$J215)="","",INDEX('Прайс и заказ'!B:B,$J215)))</f>
      </c>
      <c r="C215" s="64" t="str">
        <f>IF($J215=0,"",IF(INDEX('Прайс и заказ'!C:C,$J215)="","",INDEX('Прайс и заказ'!C:C,$J215)))</f>
      </c>
      <c r="D215" s="64" t="str">
        <f>IF($J215=0,"",IF(INDEX('Прайс и заказ'!D:D,$J215)="","",INDEX('Прайс и заказ'!D:D,$J215)))</f>
      </c>
      <c r="E215" s="61" t="str">
        <f>IF($J215=0,"",IF(INDEX('Прайс и заказ'!F:F,$J215)="","",INDEX('Прайс и заказ'!F:F,$J215)))</f>
      </c>
      <c r="F215" s="62" t="str">
        <f>IF($J215=0,"",IF(INDEX('Прайс и заказ'!I:I,$J215)="","",INDEX('Прайс и заказ'!I:I,$J215)))</f>
      </c>
      <c r="G215" s="63" t="str">
        <f>IF($J215=0,"",IF(INDEX('Прайс и заказ'!K:K,$J215)="","",INDEX('Прайс и заказ'!K:K,$J215)))</f>
      </c>
      <c r="H215" s="62" t="str">
        <f>IF($J215=0,"",IF(INDEX('Прайс и заказ'!L:L,$J215)="","",INDEX('Прайс и заказ'!L:L,$J215)))</f>
      </c>
      <c r="I215" s="13" t="str">
        <f>IF($J215=0,"",IF(INDEX('Прайс и заказ'!M:M,$J215)="","",INDEX('Прайс и заказ'!M:M,$J215)))</f>
      </c>
      <c r="J215" t="str">
        <f>IFERROR(MATCH(207,'Прайс и заказ'!$N$7:$N$244,0)+6,0)</f>
      </c>
      <c r="L215" t="str">
        <f>IF($J215=0,"",IF(INDEX('Прайс и заказ'!Q:Q,$J215)="","",INDEX('Прайс и заказ'!Q:Q,$J215)))</f>
      </c>
    </row>
    <row r="216" spans="1:12" customHeight="1" ht="40">
      <c r="A216" s="13" t="str">
        <f>IF($J216=0,"",IFERROR(_xlfn.IMAGE(INDEX('Прайс и заказ'!$O:$O,$J216)),""))</f>
      </c>
      <c r="B216" s="61" t="str">
        <f>IF($J216=0,"",IF(INDEX('Прайс и заказ'!B:B,$J216)="","",INDEX('Прайс и заказ'!B:B,$J216)))</f>
      </c>
      <c r="C216" s="64" t="str">
        <f>IF($J216=0,"",IF(INDEX('Прайс и заказ'!C:C,$J216)="","",INDEX('Прайс и заказ'!C:C,$J216)))</f>
      </c>
      <c r="D216" s="64" t="str">
        <f>IF($J216=0,"",IF(INDEX('Прайс и заказ'!D:D,$J216)="","",INDEX('Прайс и заказ'!D:D,$J216)))</f>
      </c>
      <c r="E216" s="61" t="str">
        <f>IF($J216=0,"",IF(INDEX('Прайс и заказ'!F:F,$J216)="","",INDEX('Прайс и заказ'!F:F,$J216)))</f>
      </c>
      <c r="F216" s="62" t="str">
        <f>IF($J216=0,"",IF(INDEX('Прайс и заказ'!I:I,$J216)="","",INDEX('Прайс и заказ'!I:I,$J216)))</f>
      </c>
      <c r="G216" s="63" t="str">
        <f>IF($J216=0,"",IF(INDEX('Прайс и заказ'!K:K,$J216)="","",INDEX('Прайс и заказ'!K:K,$J216)))</f>
      </c>
      <c r="H216" s="62" t="str">
        <f>IF($J216=0,"",IF(INDEX('Прайс и заказ'!L:L,$J216)="","",INDEX('Прайс и заказ'!L:L,$J216)))</f>
      </c>
      <c r="I216" s="13" t="str">
        <f>IF($J216=0,"",IF(INDEX('Прайс и заказ'!M:M,$J216)="","",INDEX('Прайс и заказ'!M:M,$J216)))</f>
      </c>
      <c r="J216" t="str">
        <f>IFERROR(MATCH(208,'Прайс и заказ'!$N$7:$N$244,0)+6,0)</f>
      </c>
      <c r="L216" t="str">
        <f>IF($J216=0,"",IF(INDEX('Прайс и заказ'!Q:Q,$J216)="","",INDEX('Прайс и заказ'!Q:Q,$J216)))</f>
      </c>
    </row>
    <row r="217" spans="1:12" customHeight="1" ht="40">
      <c r="A217" s="13" t="str">
        <f>IF($J217=0,"",IFERROR(_xlfn.IMAGE(INDEX('Прайс и заказ'!$O:$O,$J217)),""))</f>
      </c>
      <c r="B217" s="61" t="str">
        <f>IF($J217=0,"",IF(INDEX('Прайс и заказ'!B:B,$J217)="","",INDEX('Прайс и заказ'!B:B,$J217)))</f>
      </c>
      <c r="C217" s="64" t="str">
        <f>IF($J217=0,"",IF(INDEX('Прайс и заказ'!C:C,$J217)="","",INDEX('Прайс и заказ'!C:C,$J217)))</f>
      </c>
      <c r="D217" s="64" t="str">
        <f>IF($J217=0,"",IF(INDEX('Прайс и заказ'!D:D,$J217)="","",INDEX('Прайс и заказ'!D:D,$J217)))</f>
      </c>
      <c r="E217" s="61" t="str">
        <f>IF($J217=0,"",IF(INDEX('Прайс и заказ'!F:F,$J217)="","",INDEX('Прайс и заказ'!F:F,$J217)))</f>
      </c>
      <c r="F217" s="62" t="str">
        <f>IF($J217=0,"",IF(INDEX('Прайс и заказ'!I:I,$J217)="","",INDEX('Прайс и заказ'!I:I,$J217)))</f>
      </c>
      <c r="G217" s="63" t="str">
        <f>IF($J217=0,"",IF(INDEX('Прайс и заказ'!K:K,$J217)="","",INDEX('Прайс и заказ'!K:K,$J217)))</f>
      </c>
      <c r="H217" s="62" t="str">
        <f>IF($J217=0,"",IF(INDEX('Прайс и заказ'!L:L,$J217)="","",INDEX('Прайс и заказ'!L:L,$J217)))</f>
      </c>
      <c r="I217" s="13" t="str">
        <f>IF($J217=0,"",IF(INDEX('Прайс и заказ'!M:M,$J217)="","",INDEX('Прайс и заказ'!M:M,$J217)))</f>
      </c>
      <c r="J217" t="str">
        <f>IFERROR(MATCH(209,'Прайс и заказ'!$N$7:$N$244,0)+6,0)</f>
      </c>
      <c r="L217" t="str">
        <f>IF($J217=0,"",IF(INDEX('Прайс и заказ'!Q:Q,$J217)="","",INDEX('Прайс и заказ'!Q:Q,$J217)))</f>
      </c>
    </row>
    <row r="218" spans="1:12" customHeight="1" ht="40">
      <c r="A218" s="13" t="str">
        <f>IF($J218=0,"",IFERROR(_xlfn.IMAGE(INDEX('Прайс и заказ'!$O:$O,$J218)),""))</f>
      </c>
      <c r="B218" s="61" t="str">
        <f>IF($J218=0,"",IF(INDEX('Прайс и заказ'!B:B,$J218)="","",INDEX('Прайс и заказ'!B:B,$J218)))</f>
      </c>
      <c r="C218" s="64" t="str">
        <f>IF($J218=0,"",IF(INDEX('Прайс и заказ'!C:C,$J218)="","",INDEX('Прайс и заказ'!C:C,$J218)))</f>
      </c>
      <c r="D218" s="64" t="str">
        <f>IF($J218=0,"",IF(INDEX('Прайс и заказ'!D:D,$J218)="","",INDEX('Прайс и заказ'!D:D,$J218)))</f>
      </c>
      <c r="E218" s="61" t="str">
        <f>IF($J218=0,"",IF(INDEX('Прайс и заказ'!F:F,$J218)="","",INDEX('Прайс и заказ'!F:F,$J218)))</f>
      </c>
      <c r="F218" s="62" t="str">
        <f>IF($J218=0,"",IF(INDEX('Прайс и заказ'!I:I,$J218)="","",INDEX('Прайс и заказ'!I:I,$J218)))</f>
      </c>
      <c r="G218" s="63" t="str">
        <f>IF($J218=0,"",IF(INDEX('Прайс и заказ'!K:K,$J218)="","",INDEX('Прайс и заказ'!K:K,$J218)))</f>
      </c>
      <c r="H218" s="62" t="str">
        <f>IF($J218=0,"",IF(INDEX('Прайс и заказ'!L:L,$J218)="","",INDEX('Прайс и заказ'!L:L,$J218)))</f>
      </c>
      <c r="I218" s="13" t="str">
        <f>IF($J218=0,"",IF(INDEX('Прайс и заказ'!M:M,$J218)="","",INDEX('Прайс и заказ'!M:M,$J218)))</f>
      </c>
      <c r="J218" t="str">
        <f>IFERROR(MATCH(210,'Прайс и заказ'!$N$7:$N$244,0)+6,0)</f>
      </c>
      <c r="L218" t="str">
        <f>IF($J218=0,"",IF(INDEX('Прайс и заказ'!Q:Q,$J218)="","",INDEX('Прайс и заказ'!Q:Q,$J218)))</f>
      </c>
    </row>
    <row r="219" spans="1:12" customHeight="1" ht="40">
      <c r="A219" s="13" t="str">
        <f>IF($J219=0,"",IFERROR(_xlfn.IMAGE(INDEX('Прайс и заказ'!$O:$O,$J219)),""))</f>
      </c>
      <c r="B219" s="61" t="str">
        <f>IF($J219=0,"",IF(INDEX('Прайс и заказ'!B:B,$J219)="","",INDEX('Прайс и заказ'!B:B,$J219)))</f>
      </c>
      <c r="C219" s="64" t="str">
        <f>IF($J219=0,"",IF(INDEX('Прайс и заказ'!C:C,$J219)="","",INDEX('Прайс и заказ'!C:C,$J219)))</f>
      </c>
      <c r="D219" s="64" t="str">
        <f>IF($J219=0,"",IF(INDEX('Прайс и заказ'!D:D,$J219)="","",INDEX('Прайс и заказ'!D:D,$J219)))</f>
      </c>
      <c r="E219" s="61" t="str">
        <f>IF($J219=0,"",IF(INDEX('Прайс и заказ'!F:F,$J219)="","",INDEX('Прайс и заказ'!F:F,$J219)))</f>
      </c>
      <c r="F219" s="62" t="str">
        <f>IF($J219=0,"",IF(INDEX('Прайс и заказ'!I:I,$J219)="","",INDEX('Прайс и заказ'!I:I,$J219)))</f>
      </c>
      <c r="G219" s="63" t="str">
        <f>IF($J219=0,"",IF(INDEX('Прайс и заказ'!K:K,$J219)="","",INDEX('Прайс и заказ'!K:K,$J219)))</f>
      </c>
      <c r="H219" s="62" t="str">
        <f>IF($J219=0,"",IF(INDEX('Прайс и заказ'!L:L,$J219)="","",INDEX('Прайс и заказ'!L:L,$J219)))</f>
      </c>
      <c r="I219" s="13" t="str">
        <f>IF($J219=0,"",IF(INDEX('Прайс и заказ'!M:M,$J219)="","",INDEX('Прайс и заказ'!M:M,$J219)))</f>
      </c>
      <c r="J219" t="str">
        <f>IFERROR(MATCH(211,'Прайс и заказ'!$N$7:$N$244,0)+6,0)</f>
      </c>
      <c r="L219" t="str">
        <f>IF($J219=0,"",IF(INDEX('Прайс и заказ'!Q:Q,$J219)="","",INDEX('Прайс и заказ'!Q:Q,$J219)))</f>
      </c>
    </row>
    <row r="220" spans="1:12" customHeight="1" ht="40">
      <c r="A220" s="13" t="str">
        <f>IF($J220=0,"",IFERROR(_xlfn.IMAGE(INDEX('Прайс и заказ'!$O:$O,$J220)),""))</f>
      </c>
      <c r="B220" s="61" t="str">
        <f>IF($J220=0,"",IF(INDEX('Прайс и заказ'!B:B,$J220)="","",INDEX('Прайс и заказ'!B:B,$J220)))</f>
      </c>
      <c r="C220" s="64" t="str">
        <f>IF($J220=0,"",IF(INDEX('Прайс и заказ'!C:C,$J220)="","",INDEX('Прайс и заказ'!C:C,$J220)))</f>
      </c>
      <c r="D220" s="64" t="str">
        <f>IF($J220=0,"",IF(INDEX('Прайс и заказ'!D:D,$J220)="","",INDEX('Прайс и заказ'!D:D,$J220)))</f>
      </c>
      <c r="E220" s="61" t="str">
        <f>IF($J220=0,"",IF(INDEX('Прайс и заказ'!F:F,$J220)="","",INDEX('Прайс и заказ'!F:F,$J220)))</f>
      </c>
      <c r="F220" s="62" t="str">
        <f>IF($J220=0,"",IF(INDEX('Прайс и заказ'!I:I,$J220)="","",INDEX('Прайс и заказ'!I:I,$J220)))</f>
      </c>
      <c r="G220" s="63" t="str">
        <f>IF($J220=0,"",IF(INDEX('Прайс и заказ'!K:K,$J220)="","",INDEX('Прайс и заказ'!K:K,$J220)))</f>
      </c>
      <c r="H220" s="62" t="str">
        <f>IF($J220=0,"",IF(INDEX('Прайс и заказ'!L:L,$J220)="","",INDEX('Прайс и заказ'!L:L,$J220)))</f>
      </c>
      <c r="I220" s="13" t="str">
        <f>IF($J220=0,"",IF(INDEX('Прайс и заказ'!M:M,$J220)="","",INDEX('Прайс и заказ'!M:M,$J220)))</f>
      </c>
      <c r="J220" t="str">
        <f>IFERROR(MATCH(212,'Прайс и заказ'!$N$7:$N$244,0)+6,0)</f>
      </c>
      <c r="L220" t="str">
        <f>IF($J220=0,"",IF(INDEX('Прайс и заказ'!Q:Q,$J220)="","",INDEX('Прайс и заказ'!Q:Q,$J220)))</f>
      </c>
    </row>
    <row r="221" spans="1:12" customHeight="1" ht="40">
      <c r="A221" s="13" t="str">
        <f>IF($J221=0,"",IFERROR(_xlfn.IMAGE(INDEX('Прайс и заказ'!$O:$O,$J221)),""))</f>
      </c>
      <c r="B221" s="61" t="str">
        <f>IF($J221=0,"",IF(INDEX('Прайс и заказ'!B:B,$J221)="","",INDEX('Прайс и заказ'!B:B,$J221)))</f>
      </c>
      <c r="C221" s="64" t="str">
        <f>IF($J221=0,"",IF(INDEX('Прайс и заказ'!C:C,$J221)="","",INDEX('Прайс и заказ'!C:C,$J221)))</f>
      </c>
      <c r="D221" s="64" t="str">
        <f>IF($J221=0,"",IF(INDEX('Прайс и заказ'!D:D,$J221)="","",INDEX('Прайс и заказ'!D:D,$J221)))</f>
      </c>
      <c r="E221" s="61" t="str">
        <f>IF($J221=0,"",IF(INDEX('Прайс и заказ'!F:F,$J221)="","",INDEX('Прайс и заказ'!F:F,$J221)))</f>
      </c>
      <c r="F221" s="62" t="str">
        <f>IF($J221=0,"",IF(INDEX('Прайс и заказ'!I:I,$J221)="","",INDEX('Прайс и заказ'!I:I,$J221)))</f>
      </c>
      <c r="G221" s="63" t="str">
        <f>IF($J221=0,"",IF(INDEX('Прайс и заказ'!K:K,$J221)="","",INDEX('Прайс и заказ'!K:K,$J221)))</f>
      </c>
      <c r="H221" s="62" t="str">
        <f>IF($J221=0,"",IF(INDEX('Прайс и заказ'!L:L,$J221)="","",INDEX('Прайс и заказ'!L:L,$J221)))</f>
      </c>
      <c r="I221" s="13" t="str">
        <f>IF($J221=0,"",IF(INDEX('Прайс и заказ'!M:M,$J221)="","",INDEX('Прайс и заказ'!M:M,$J221)))</f>
      </c>
      <c r="J221" t="str">
        <f>IFERROR(MATCH(213,'Прайс и заказ'!$N$7:$N$244,0)+6,0)</f>
      </c>
      <c r="L221" t="str">
        <f>IF($J221=0,"",IF(INDEX('Прайс и заказ'!Q:Q,$J221)="","",INDEX('Прайс и заказ'!Q:Q,$J221)))</f>
      </c>
    </row>
    <row r="222" spans="1:12" customHeight="1" ht="40">
      <c r="A222" s="13" t="str">
        <f>IF($J222=0,"",IFERROR(_xlfn.IMAGE(INDEX('Прайс и заказ'!$O:$O,$J222)),""))</f>
      </c>
      <c r="B222" s="61" t="str">
        <f>IF($J222=0,"",IF(INDEX('Прайс и заказ'!B:B,$J222)="","",INDEX('Прайс и заказ'!B:B,$J222)))</f>
      </c>
      <c r="C222" s="64" t="str">
        <f>IF($J222=0,"",IF(INDEX('Прайс и заказ'!C:C,$J222)="","",INDEX('Прайс и заказ'!C:C,$J222)))</f>
      </c>
      <c r="D222" s="64" t="str">
        <f>IF($J222=0,"",IF(INDEX('Прайс и заказ'!D:D,$J222)="","",INDEX('Прайс и заказ'!D:D,$J222)))</f>
      </c>
      <c r="E222" s="61" t="str">
        <f>IF($J222=0,"",IF(INDEX('Прайс и заказ'!F:F,$J222)="","",INDEX('Прайс и заказ'!F:F,$J222)))</f>
      </c>
      <c r="F222" s="62" t="str">
        <f>IF($J222=0,"",IF(INDEX('Прайс и заказ'!I:I,$J222)="","",INDEX('Прайс и заказ'!I:I,$J222)))</f>
      </c>
      <c r="G222" s="63" t="str">
        <f>IF($J222=0,"",IF(INDEX('Прайс и заказ'!K:K,$J222)="","",INDEX('Прайс и заказ'!K:K,$J222)))</f>
      </c>
      <c r="H222" s="62" t="str">
        <f>IF($J222=0,"",IF(INDEX('Прайс и заказ'!L:L,$J222)="","",INDEX('Прайс и заказ'!L:L,$J222)))</f>
      </c>
      <c r="I222" s="13" t="str">
        <f>IF($J222=0,"",IF(INDEX('Прайс и заказ'!M:M,$J222)="","",INDEX('Прайс и заказ'!M:M,$J222)))</f>
      </c>
      <c r="J222" t="str">
        <f>IFERROR(MATCH(214,'Прайс и заказ'!$N$7:$N$244,0)+6,0)</f>
      </c>
      <c r="L222" t="str">
        <f>IF($J222=0,"",IF(INDEX('Прайс и заказ'!Q:Q,$J222)="","",INDEX('Прайс и заказ'!Q:Q,$J222)))</f>
      </c>
    </row>
    <row r="223" spans="1:12" customHeight="1" ht="40">
      <c r="A223" s="13" t="str">
        <f>IF($J223=0,"",IFERROR(_xlfn.IMAGE(INDEX('Прайс и заказ'!$O:$O,$J223)),""))</f>
      </c>
      <c r="B223" s="61" t="str">
        <f>IF($J223=0,"",IF(INDEX('Прайс и заказ'!B:B,$J223)="","",INDEX('Прайс и заказ'!B:B,$J223)))</f>
      </c>
      <c r="C223" s="64" t="str">
        <f>IF($J223=0,"",IF(INDEX('Прайс и заказ'!C:C,$J223)="","",INDEX('Прайс и заказ'!C:C,$J223)))</f>
      </c>
      <c r="D223" s="64" t="str">
        <f>IF($J223=0,"",IF(INDEX('Прайс и заказ'!D:D,$J223)="","",INDEX('Прайс и заказ'!D:D,$J223)))</f>
      </c>
      <c r="E223" s="61" t="str">
        <f>IF($J223=0,"",IF(INDEX('Прайс и заказ'!F:F,$J223)="","",INDEX('Прайс и заказ'!F:F,$J223)))</f>
      </c>
      <c r="F223" s="62" t="str">
        <f>IF($J223=0,"",IF(INDEX('Прайс и заказ'!I:I,$J223)="","",INDEX('Прайс и заказ'!I:I,$J223)))</f>
      </c>
      <c r="G223" s="63" t="str">
        <f>IF($J223=0,"",IF(INDEX('Прайс и заказ'!K:K,$J223)="","",INDEX('Прайс и заказ'!K:K,$J223)))</f>
      </c>
      <c r="H223" s="62" t="str">
        <f>IF($J223=0,"",IF(INDEX('Прайс и заказ'!L:L,$J223)="","",INDEX('Прайс и заказ'!L:L,$J223)))</f>
      </c>
      <c r="I223" s="13" t="str">
        <f>IF($J223=0,"",IF(INDEX('Прайс и заказ'!M:M,$J223)="","",INDEX('Прайс и заказ'!M:M,$J223)))</f>
      </c>
      <c r="J223" t="str">
        <f>IFERROR(MATCH(215,'Прайс и заказ'!$N$7:$N$244,0)+6,0)</f>
      </c>
      <c r="L223" t="str">
        <f>IF($J223=0,"",IF(INDEX('Прайс и заказ'!Q:Q,$J223)="","",INDEX('Прайс и заказ'!Q:Q,$J223)))</f>
      </c>
    </row>
    <row r="224" spans="1:12" customHeight="1" ht="40">
      <c r="A224" s="13" t="str">
        <f>IF($J224=0,"",IFERROR(_xlfn.IMAGE(INDEX('Прайс и заказ'!$O:$O,$J224)),""))</f>
      </c>
      <c r="B224" s="61" t="str">
        <f>IF($J224=0,"",IF(INDEX('Прайс и заказ'!B:B,$J224)="","",INDEX('Прайс и заказ'!B:B,$J224)))</f>
      </c>
      <c r="C224" s="64" t="str">
        <f>IF($J224=0,"",IF(INDEX('Прайс и заказ'!C:C,$J224)="","",INDEX('Прайс и заказ'!C:C,$J224)))</f>
      </c>
      <c r="D224" s="64" t="str">
        <f>IF($J224=0,"",IF(INDEX('Прайс и заказ'!D:D,$J224)="","",INDEX('Прайс и заказ'!D:D,$J224)))</f>
      </c>
      <c r="E224" s="61" t="str">
        <f>IF($J224=0,"",IF(INDEX('Прайс и заказ'!F:F,$J224)="","",INDEX('Прайс и заказ'!F:F,$J224)))</f>
      </c>
      <c r="F224" s="62" t="str">
        <f>IF($J224=0,"",IF(INDEX('Прайс и заказ'!I:I,$J224)="","",INDEX('Прайс и заказ'!I:I,$J224)))</f>
      </c>
      <c r="G224" s="63" t="str">
        <f>IF($J224=0,"",IF(INDEX('Прайс и заказ'!K:K,$J224)="","",INDEX('Прайс и заказ'!K:K,$J224)))</f>
      </c>
      <c r="H224" s="62" t="str">
        <f>IF($J224=0,"",IF(INDEX('Прайс и заказ'!L:L,$J224)="","",INDEX('Прайс и заказ'!L:L,$J224)))</f>
      </c>
      <c r="I224" s="13" t="str">
        <f>IF($J224=0,"",IF(INDEX('Прайс и заказ'!M:M,$J224)="","",INDEX('Прайс и заказ'!M:M,$J224)))</f>
      </c>
      <c r="J224" t="str">
        <f>IFERROR(MATCH(216,'Прайс и заказ'!$N$7:$N$244,0)+6,0)</f>
      </c>
      <c r="L224" t="str">
        <f>IF($J224=0,"",IF(INDEX('Прайс и заказ'!Q:Q,$J224)="","",INDEX('Прайс и заказ'!Q:Q,$J224)))</f>
      </c>
    </row>
    <row r="225" spans="1:12" customHeight="1" ht="40">
      <c r="A225" s="13" t="str">
        <f>IF($J225=0,"",IFERROR(_xlfn.IMAGE(INDEX('Прайс и заказ'!$O:$O,$J225)),""))</f>
      </c>
      <c r="B225" s="61" t="str">
        <f>IF($J225=0,"",IF(INDEX('Прайс и заказ'!B:B,$J225)="","",INDEX('Прайс и заказ'!B:B,$J225)))</f>
      </c>
      <c r="C225" s="64" t="str">
        <f>IF($J225=0,"",IF(INDEX('Прайс и заказ'!C:C,$J225)="","",INDEX('Прайс и заказ'!C:C,$J225)))</f>
      </c>
      <c r="D225" s="64" t="str">
        <f>IF($J225=0,"",IF(INDEX('Прайс и заказ'!D:D,$J225)="","",INDEX('Прайс и заказ'!D:D,$J225)))</f>
      </c>
      <c r="E225" s="61" t="str">
        <f>IF($J225=0,"",IF(INDEX('Прайс и заказ'!F:F,$J225)="","",INDEX('Прайс и заказ'!F:F,$J225)))</f>
      </c>
      <c r="F225" s="62" t="str">
        <f>IF($J225=0,"",IF(INDEX('Прайс и заказ'!I:I,$J225)="","",INDEX('Прайс и заказ'!I:I,$J225)))</f>
      </c>
      <c r="G225" s="63" t="str">
        <f>IF($J225=0,"",IF(INDEX('Прайс и заказ'!K:K,$J225)="","",INDEX('Прайс и заказ'!K:K,$J225)))</f>
      </c>
      <c r="H225" s="62" t="str">
        <f>IF($J225=0,"",IF(INDEX('Прайс и заказ'!L:L,$J225)="","",INDEX('Прайс и заказ'!L:L,$J225)))</f>
      </c>
      <c r="I225" s="13" t="str">
        <f>IF($J225=0,"",IF(INDEX('Прайс и заказ'!M:M,$J225)="","",INDEX('Прайс и заказ'!M:M,$J225)))</f>
      </c>
      <c r="J225" t="str">
        <f>IFERROR(MATCH(217,'Прайс и заказ'!$N$7:$N$244,0)+6,0)</f>
      </c>
      <c r="L225" t="str">
        <f>IF($J225=0,"",IF(INDEX('Прайс и заказ'!Q:Q,$J225)="","",INDEX('Прайс и заказ'!Q:Q,$J225)))</f>
      </c>
    </row>
    <row r="226" spans="1:12" customHeight="1" ht="40">
      <c r="A226" s="13" t="str">
        <f>IF($J226=0,"",IFERROR(_xlfn.IMAGE(INDEX('Прайс и заказ'!$O:$O,$J226)),""))</f>
      </c>
      <c r="B226" s="61" t="str">
        <f>IF($J226=0,"",IF(INDEX('Прайс и заказ'!B:B,$J226)="","",INDEX('Прайс и заказ'!B:B,$J226)))</f>
      </c>
      <c r="C226" s="64" t="str">
        <f>IF($J226=0,"",IF(INDEX('Прайс и заказ'!C:C,$J226)="","",INDEX('Прайс и заказ'!C:C,$J226)))</f>
      </c>
      <c r="D226" s="64" t="str">
        <f>IF($J226=0,"",IF(INDEX('Прайс и заказ'!D:D,$J226)="","",INDEX('Прайс и заказ'!D:D,$J226)))</f>
      </c>
      <c r="E226" s="61" t="str">
        <f>IF($J226=0,"",IF(INDEX('Прайс и заказ'!F:F,$J226)="","",INDEX('Прайс и заказ'!F:F,$J226)))</f>
      </c>
      <c r="F226" s="62" t="str">
        <f>IF($J226=0,"",IF(INDEX('Прайс и заказ'!I:I,$J226)="","",INDEX('Прайс и заказ'!I:I,$J226)))</f>
      </c>
      <c r="G226" s="63" t="str">
        <f>IF($J226=0,"",IF(INDEX('Прайс и заказ'!K:K,$J226)="","",INDEX('Прайс и заказ'!K:K,$J226)))</f>
      </c>
      <c r="H226" s="62" t="str">
        <f>IF($J226=0,"",IF(INDEX('Прайс и заказ'!L:L,$J226)="","",INDEX('Прайс и заказ'!L:L,$J226)))</f>
      </c>
      <c r="I226" s="13" t="str">
        <f>IF($J226=0,"",IF(INDEX('Прайс и заказ'!M:M,$J226)="","",INDEX('Прайс и заказ'!M:M,$J226)))</f>
      </c>
      <c r="J226" t="str">
        <f>IFERROR(MATCH(218,'Прайс и заказ'!$N$7:$N$244,0)+6,0)</f>
      </c>
      <c r="L226" t="str">
        <f>IF($J226=0,"",IF(INDEX('Прайс и заказ'!Q:Q,$J226)="","",INDEX('Прайс и заказ'!Q:Q,$J226)))</f>
      </c>
    </row>
    <row r="227" spans="1:12" customHeight="1" ht="40">
      <c r="A227" s="13" t="str">
        <f>IF($J227=0,"",IFERROR(_xlfn.IMAGE(INDEX('Прайс и заказ'!$O:$O,$J227)),""))</f>
      </c>
      <c r="B227" s="61" t="str">
        <f>IF($J227=0,"",IF(INDEX('Прайс и заказ'!B:B,$J227)="","",INDEX('Прайс и заказ'!B:B,$J227)))</f>
      </c>
      <c r="C227" s="64" t="str">
        <f>IF($J227=0,"",IF(INDEX('Прайс и заказ'!C:C,$J227)="","",INDEX('Прайс и заказ'!C:C,$J227)))</f>
      </c>
      <c r="D227" s="64" t="str">
        <f>IF($J227=0,"",IF(INDEX('Прайс и заказ'!D:D,$J227)="","",INDEX('Прайс и заказ'!D:D,$J227)))</f>
      </c>
      <c r="E227" s="61" t="str">
        <f>IF($J227=0,"",IF(INDEX('Прайс и заказ'!F:F,$J227)="","",INDEX('Прайс и заказ'!F:F,$J227)))</f>
      </c>
      <c r="F227" s="62" t="str">
        <f>IF($J227=0,"",IF(INDEX('Прайс и заказ'!I:I,$J227)="","",INDEX('Прайс и заказ'!I:I,$J227)))</f>
      </c>
      <c r="G227" s="63" t="str">
        <f>IF($J227=0,"",IF(INDEX('Прайс и заказ'!K:K,$J227)="","",INDEX('Прайс и заказ'!K:K,$J227)))</f>
      </c>
      <c r="H227" s="62" t="str">
        <f>IF($J227=0,"",IF(INDEX('Прайс и заказ'!L:L,$J227)="","",INDEX('Прайс и заказ'!L:L,$J227)))</f>
      </c>
      <c r="I227" s="13" t="str">
        <f>IF($J227=0,"",IF(INDEX('Прайс и заказ'!M:M,$J227)="","",INDEX('Прайс и заказ'!M:M,$J227)))</f>
      </c>
      <c r="J227" t="str">
        <f>IFERROR(MATCH(219,'Прайс и заказ'!$N$7:$N$244,0)+6,0)</f>
      </c>
      <c r="L227" t="str">
        <f>IF($J227=0,"",IF(INDEX('Прайс и заказ'!Q:Q,$J227)="","",INDEX('Прайс и заказ'!Q:Q,$J227)))</f>
      </c>
    </row>
    <row r="228" spans="1:12" customHeight="1" ht="40">
      <c r="A228" s="13" t="str">
        <f>IF($J228=0,"",IFERROR(_xlfn.IMAGE(INDEX('Прайс и заказ'!$O:$O,$J228)),""))</f>
      </c>
      <c r="B228" s="61" t="str">
        <f>IF($J228=0,"",IF(INDEX('Прайс и заказ'!B:B,$J228)="","",INDEX('Прайс и заказ'!B:B,$J228)))</f>
      </c>
      <c r="C228" s="64" t="str">
        <f>IF($J228=0,"",IF(INDEX('Прайс и заказ'!C:C,$J228)="","",INDEX('Прайс и заказ'!C:C,$J228)))</f>
      </c>
      <c r="D228" s="64" t="str">
        <f>IF($J228=0,"",IF(INDEX('Прайс и заказ'!D:D,$J228)="","",INDEX('Прайс и заказ'!D:D,$J228)))</f>
      </c>
      <c r="E228" s="61" t="str">
        <f>IF($J228=0,"",IF(INDEX('Прайс и заказ'!F:F,$J228)="","",INDEX('Прайс и заказ'!F:F,$J228)))</f>
      </c>
      <c r="F228" s="62" t="str">
        <f>IF($J228=0,"",IF(INDEX('Прайс и заказ'!I:I,$J228)="","",INDEX('Прайс и заказ'!I:I,$J228)))</f>
      </c>
      <c r="G228" s="63" t="str">
        <f>IF($J228=0,"",IF(INDEX('Прайс и заказ'!K:K,$J228)="","",INDEX('Прайс и заказ'!K:K,$J228)))</f>
      </c>
      <c r="H228" s="62" t="str">
        <f>IF($J228=0,"",IF(INDEX('Прайс и заказ'!L:L,$J228)="","",INDEX('Прайс и заказ'!L:L,$J228)))</f>
      </c>
      <c r="I228" s="13" t="str">
        <f>IF($J228=0,"",IF(INDEX('Прайс и заказ'!M:M,$J228)="","",INDEX('Прайс и заказ'!M:M,$J228)))</f>
      </c>
      <c r="J228" t="str">
        <f>IFERROR(MATCH(220,'Прайс и заказ'!$N$7:$N$244,0)+6,0)</f>
      </c>
      <c r="L228" t="str">
        <f>IF($J228=0,"",IF(INDEX('Прайс и заказ'!Q:Q,$J228)="","",INDEX('Прайс и заказ'!Q:Q,$J228)))</f>
      </c>
    </row>
    <row r="229" spans="1:12" customHeight="1" ht="40">
      <c r="A229" s="13" t="str">
        <f>IF($J229=0,"",IFERROR(_xlfn.IMAGE(INDEX('Прайс и заказ'!$O:$O,$J229)),""))</f>
      </c>
      <c r="B229" s="61" t="str">
        <f>IF($J229=0,"",IF(INDEX('Прайс и заказ'!B:B,$J229)="","",INDEX('Прайс и заказ'!B:B,$J229)))</f>
      </c>
      <c r="C229" s="64" t="str">
        <f>IF($J229=0,"",IF(INDEX('Прайс и заказ'!C:C,$J229)="","",INDEX('Прайс и заказ'!C:C,$J229)))</f>
      </c>
      <c r="D229" s="64" t="str">
        <f>IF($J229=0,"",IF(INDEX('Прайс и заказ'!D:D,$J229)="","",INDEX('Прайс и заказ'!D:D,$J229)))</f>
      </c>
      <c r="E229" s="61" t="str">
        <f>IF($J229=0,"",IF(INDEX('Прайс и заказ'!F:F,$J229)="","",INDEX('Прайс и заказ'!F:F,$J229)))</f>
      </c>
      <c r="F229" s="62" t="str">
        <f>IF($J229=0,"",IF(INDEX('Прайс и заказ'!I:I,$J229)="","",INDEX('Прайс и заказ'!I:I,$J229)))</f>
      </c>
      <c r="G229" s="63" t="str">
        <f>IF($J229=0,"",IF(INDEX('Прайс и заказ'!K:K,$J229)="","",INDEX('Прайс и заказ'!K:K,$J229)))</f>
      </c>
      <c r="H229" s="62" t="str">
        <f>IF($J229=0,"",IF(INDEX('Прайс и заказ'!L:L,$J229)="","",INDEX('Прайс и заказ'!L:L,$J229)))</f>
      </c>
      <c r="I229" s="13" t="str">
        <f>IF($J229=0,"",IF(INDEX('Прайс и заказ'!M:M,$J229)="","",INDEX('Прайс и заказ'!M:M,$J229)))</f>
      </c>
      <c r="J229" t="str">
        <f>IFERROR(MATCH(221,'Прайс и заказ'!$N$7:$N$244,0)+6,0)</f>
      </c>
      <c r="L229" t="str">
        <f>IF($J229=0,"",IF(INDEX('Прайс и заказ'!Q:Q,$J229)="","",INDEX('Прайс и заказ'!Q:Q,$J229)))</f>
      </c>
    </row>
    <row r="230" spans="1:12" customHeight="1" ht="40">
      <c r="A230" s="13" t="str">
        <f>IF($J230=0,"",IFERROR(_xlfn.IMAGE(INDEX('Прайс и заказ'!$O:$O,$J230)),""))</f>
      </c>
      <c r="B230" s="61" t="str">
        <f>IF($J230=0,"",IF(INDEX('Прайс и заказ'!B:B,$J230)="","",INDEX('Прайс и заказ'!B:B,$J230)))</f>
      </c>
      <c r="C230" s="64" t="str">
        <f>IF($J230=0,"",IF(INDEX('Прайс и заказ'!C:C,$J230)="","",INDEX('Прайс и заказ'!C:C,$J230)))</f>
      </c>
      <c r="D230" s="64" t="str">
        <f>IF($J230=0,"",IF(INDEX('Прайс и заказ'!D:D,$J230)="","",INDEX('Прайс и заказ'!D:D,$J230)))</f>
      </c>
      <c r="E230" s="61" t="str">
        <f>IF($J230=0,"",IF(INDEX('Прайс и заказ'!F:F,$J230)="","",INDEX('Прайс и заказ'!F:F,$J230)))</f>
      </c>
      <c r="F230" s="62" t="str">
        <f>IF($J230=0,"",IF(INDEX('Прайс и заказ'!I:I,$J230)="","",INDEX('Прайс и заказ'!I:I,$J230)))</f>
      </c>
      <c r="G230" s="63" t="str">
        <f>IF($J230=0,"",IF(INDEX('Прайс и заказ'!K:K,$J230)="","",INDEX('Прайс и заказ'!K:K,$J230)))</f>
      </c>
      <c r="H230" s="62" t="str">
        <f>IF($J230=0,"",IF(INDEX('Прайс и заказ'!L:L,$J230)="","",INDEX('Прайс и заказ'!L:L,$J230)))</f>
      </c>
      <c r="I230" s="13" t="str">
        <f>IF($J230=0,"",IF(INDEX('Прайс и заказ'!M:M,$J230)="","",INDEX('Прайс и заказ'!M:M,$J230)))</f>
      </c>
      <c r="J230" t="str">
        <f>IFERROR(MATCH(222,'Прайс и заказ'!$N$7:$N$244,0)+6,0)</f>
      </c>
      <c r="L230" t="str">
        <f>IF($J230=0,"",IF(INDEX('Прайс и заказ'!Q:Q,$J230)="","",INDEX('Прайс и заказ'!Q:Q,$J230)))</f>
      </c>
    </row>
    <row r="231" spans="1:12" customHeight="1" ht="40">
      <c r="A231" s="13" t="str">
        <f>IF($J231=0,"",IFERROR(_xlfn.IMAGE(INDEX('Прайс и заказ'!$O:$O,$J231)),""))</f>
      </c>
      <c r="B231" s="61" t="str">
        <f>IF($J231=0,"",IF(INDEX('Прайс и заказ'!B:B,$J231)="","",INDEX('Прайс и заказ'!B:B,$J231)))</f>
      </c>
      <c r="C231" s="64" t="str">
        <f>IF($J231=0,"",IF(INDEX('Прайс и заказ'!C:C,$J231)="","",INDEX('Прайс и заказ'!C:C,$J231)))</f>
      </c>
      <c r="D231" s="64" t="str">
        <f>IF($J231=0,"",IF(INDEX('Прайс и заказ'!D:D,$J231)="","",INDEX('Прайс и заказ'!D:D,$J231)))</f>
      </c>
      <c r="E231" s="61" t="str">
        <f>IF($J231=0,"",IF(INDEX('Прайс и заказ'!F:F,$J231)="","",INDEX('Прайс и заказ'!F:F,$J231)))</f>
      </c>
      <c r="F231" s="62" t="str">
        <f>IF($J231=0,"",IF(INDEX('Прайс и заказ'!I:I,$J231)="","",INDEX('Прайс и заказ'!I:I,$J231)))</f>
      </c>
      <c r="G231" s="63" t="str">
        <f>IF($J231=0,"",IF(INDEX('Прайс и заказ'!K:K,$J231)="","",INDEX('Прайс и заказ'!K:K,$J231)))</f>
      </c>
      <c r="H231" s="62" t="str">
        <f>IF($J231=0,"",IF(INDEX('Прайс и заказ'!L:L,$J231)="","",INDEX('Прайс и заказ'!L:L,$J231)))</f>
      </c>
      <c r="I231" s="13" t="str">
        <f>IF($J231=0,"",IF(INDEX('Прайс и заказ'!M:M,$J231)="","",INDEX('Прайс и заказ'!M:M,$J231)))</f>
      </c>
      <c r="J231" t="str">
        <f>IFERROR(MATCH(223,'Прайс и заказ'!$N$7:$N$244,0)+6,0)</f>
      </c>
      <c r="L231" t="str">
        <f>IF($J231=0,"",IF(INDEX('Прайс и заказ'!Q:Q,$J231)="","",INDEX('Прайс и заказ'!Q:Q,$J231)))</f>
      </c>
    </row>
    <row r="232" spans="1:12" customHeight="1" ht="40">
      <c r="A232" s="13" t="str">
        <f>IF($J232=0,"",IFERROR(_xlfn.IMAGE(INDEX('Прайс и заказ'!$O:$O,$J232)),""))</f>
      </c>
      <c r="B232" s="61" t="str">
        <f>IF($J232=0,"",IF(INDEX('Прайс и заказ'!B:B,$J232)="","",INDEX('Прайс и заказ'!B:B,$J232)))</f>
      </c>
      <c r="C232" s="64" t="str">
        <f>IF($J232=0,"",IF(INDEX('Прайс и заказ'!C:C,$J232)="","",INDEX('Прайс и заказ'!C:C,$J232)))</f>
      </c>
      <c r="D232" s="64" t="str">
        <f>IF($J232=0,"",IF(INDEX('Прайс и заказ'!D:D,$J232)="","",INDEX('Прайс и заказ'!D:D,$J232)))</f>
      </c>
      <c r="E232" s="61" t="str">
        <f>IF($J232=0,"",IF(INDEX('Прайс и заказ'!F:F,$J232)="","",INDEX('Прайс и заказ'!F:F,$J232)))</f>
      </c>
      <c r="F232" s="62" t="str">
        <f>IF($J232=0,"",IF(INDEX('Прайс и заказ'!I:I,$J232)="","",INDEX('Прайс и заказ'!I:I,$J232)))</f>
      </c>
      <c r="G232" s="63" t="str">
        <f>IF($J232=0,"",IF(INDEX('Прайс и заказ'!K:K,$J232)="","",INDEX('Прайс и заказ'!K:K,$J232)))</f>
      </c>
      <c r="H232" s="62" t="str">
        <f>IF($J232=0,"",IF(INDEX('Прайс и заказ'!L:L,$J232)="","",INDEX('Прайс и заказ'!L:L,$J232)))</f>
      </c>
      <c r="I232" s="13" t="str">
        <f>IF($J232=0,"",IF(INDEX('Прайс и заказ'!M:M,$J232)="","",INDEX('Прайс и заказ'!M:M,$J232)))</f>
      </c>
      <c r="J232" t="str">
        <f>IFERROR(MATCH(224,'Прайс и заказ'!$N$7:$N$244,0)+6,0)</f>
      </c>
      <c r="L232" t="str">
        <f>IF($J232=0,"",IF(INDEX('Прайс и заказ'!Q:Q,$J232)="","",INDEX('Прайс и заказ'!Q:Q,$J232)))</f>
      </c>
    </row>
    <row r="233" spans="1:12" customHeight="1" ht="40">
      <c r="A233" s="13" t="str">
        <f>IF($J233=0,"",IFERROR(_xlfn.IMAGE(INDEX('Прайс и заказ'!$O:$O,$J233)),""))</f>
      </c>
      <c r="B233" s="61" t="str">
        <f>IF($J233=0,"",IF(INDEX('Прайс и заказ'!B:B,$J233)="","",INDEX('Прайс и заказ'!B:B,$J233)))</f>
      </c>
      <c r="C233" s="64" t="str">
        <f>IF($J233=0,"",IF(INDEX('Прайс и заказ'!C:C,$J233)="","",INDEX('Прайс и заказ'!C:C,$J233)))</f>
      </c>
      <c r="D233" s="64" t="str">
        <f>IF($J233=0,"",IF(INDEX('Прайс и заказ'!D:D,$J233)="","",INDEX('Прайс и заказ'!D:D,$J233)))</f>
      </c>
      <c r="E233" s="61" t="str">
        <f>IF($J233=0,"",IF(INDEX('Прайс и заказ'!F:F,$J233)="","",INDEX('Прайс и заказ'!F:F,$J233)))</f>
      </c>
      <c r="F233" s="62" t="str">
        <f>IF($J233=0,"",IF(INDEX('Прайс и заказ'!I:I,$J233)="","",INDEX('Прайс и заказ'!I:I,$J233)))</f>
      </c>
      <c r="G233" s="63" t="str">
        <f>IF($J233=0,"",IF(INDEX('Прайс и заказ'!K:K,$J233)="","",INDEX('Прайс и заказ'!K:K,$J233)))</f>
      </c>
      <c r="H233" s="62" t="str">
        <f>IF($J233=0,"",IF(INDEX('Прайс и заказ'!L:L,$J233)="","",INDEX('Прайс и заказ'!L:L,$J233)))</f>
      </c>
      <c r="I233" s="13" t="str">
        <f>IF($J233=0,"",IF(INDEX('Прайс и заказ'!M:M,$J233)="","",INDEX('Прайс и заказ'!M:M,$J233)))</f>
      </c>
      <c r="J233" t="str">
        <f>IFERROR(MATCH(225,'Прайс и заказ'!$N$7:$N$244,0)+6,0)</f>
      </c>
      <c r="L233" t="str">
        <f>IF($J233=0,"",IF(INDEX('Прайс и заказ'!Q:Q,$J233)="","",INDEX('Прайс и заказ'!Q:Q,$J233)))</f>
      </c>
    </row>
    <row r="234" spans="1:12" customHeight="1" ht="40">
      <c r="A234" s="13" t="str">
        <f>IF($J234=0,"",IFERROR(_xlfn.IMAGE(INDEX('Прайс и заказ'!$O:$O,$J234)),""))</f>
      </c>
      <c r="B234" s="61" t="str">
        <f>IF($J234=0,"",IF(INDEX('Прайс и заказ'!B:B,$J234)="","",INDEX('Прайс и заказ'!B:B,$J234)))</f>
      </c>
      <c r="C234" s="64" t="str">
        <f>IF($J234=0,"",IF(INDEX('Прайс и заказ'!C:C,$J234)="","",INDEX('Прайс и заказ'!C:C,$J234)))</f>
      </c>
      <c r="D234" s="64" t="str">
        <f>IF($J234=0,"",IF(INDEX('Прайс и заказ'!D:D,$J234)="","",INDEX('Прайс и заказ'!D:D,$J234)))</f>
      </c>
      <c r="E234" s="61" t="str">
        <f>IF($J234=0,"",IF(INDEX('Прайс и заказ'!F:F,$J234)="","",INDEX('Прайс и заказ'!F:F,$J234)))</f>
      </c>
      <c r="F234" s="62" t="str">
        <f>IF($J234=0,"",IF(INDEX('Прайс и заказ'!I:I,$J234)="","",INDEX('Прайс и заказ'!I:I,$J234)))</f>
      </c>
      <c r="G234" s="63" t="str">
        <f>IF($J234=0,"",IF(INDEX('Прайс и заказ'!K:K,$J234)="","",INDEX('Прайс и заказ'!K:K,$J234)))</f>
      </c>
      <c r="H234" s="62" t="str">
        <f>IF($J234=0,"",IF(INDEX('Прайс и заказ'!L:L,$J234)="","",INDEX('Прайс и заказ'!L:L,$J234)))</f>
      </c>
      <c r="I234" s="13" t="str">
        <f>IF($J234=0,"",IF(INDEX('Прайс и заказ'!M:M,$J234)="","",INDEX('Прайс и заказ'!M:M,$J234)))</f>
      </c>
      <c r="J234" t="str">
        <f>IFERROR(MATCH(226,'Прайс и заказ'!$N$7:$N$244,0)+6,0)</f>
      </c>
      <c r="L234" t="str">
        <f>IF($J234=0,"",IF(INDEX('Прайс и заказ'!Q:Q,$J234)="","",INDEX('Прайс и заказ'!Q:Q,$J234)))</f>
      </c>
    </row>
    <row r="235" spans="1:12" customHeight="1" ht="40">
      <c r="A235" s="13" t="str">
        <f>IF($J235=0,"",IFERROR(_xlfn.IMAGE(INDEX('Прайс и заказ'!$O:$O,$J235)),""))</f>
      </c>
      <c r="B235" s="61" t="str">
        <f>IF($J235=0,"",IF(INDEX('Прайс и заказ'!B:B,$J235)="","",INDEX('Прайс и заказ'!B:B,$J235)))</f>
      </c>
      <c r="C235" s="64" t="str">
        <f>IF($J235=0,"",IF(INDEX('Прайс и заказ'!C:C,$J235)="","",INDEX('Прайс и заказ'!C:C,$J235)))</f>
      </c>
      <c r="D235" s="64" t="str">
        <f>IF($J235=0,"",IF(INDEX('Прайс и заказ'!D:D,$J235)="","",INDEX('Прайс и заказ'!D:D,$J235)))</f>
      </c>
      <c r="E235" s="61" t="str">
        <f>IF($J235=0,"",IF(INDEX('Прайс и заказ'!F:F,$J235)="","",INDEX('Прайс и заказ'!F:F,$J235)))</f>
      </c>
      <c r="F235" s="62" t="str">
        <f>IF($J235=0,"",IF(INDEX('Прайс и заказ'!I:I,$J235)="","",INDEX('Прайс и заказ'!I:I,$J235)))</f>
      </c>
      <c r="G235" s="63" t="str">
        <f>IF($J235=0,"",IF(INDEX('Прайс и заказ'!K:K,$J235)="","",INDEX('Прайс и заказ'!K:K,$J235)))</f>
      </c>
      <c r="H235" s="62" t="str">
        <f>IF($J235=0,"",IF(INDEX('Прайс и заказ'!L:L,$J235)="","",INDEX('Прайс и заказ'!L:L,$J235)))</f>
      </c>
      <c r="I235" s="13" t="str">
        <f>IF($J235=0,"",IF(INDEX('Прайс и заказ'!M:M,$J235)="","",INDEX('Прайс и заказ'!M:M,$J235)))</f>
      </c>
      <c r="J235" t="str">
        <f>IFERROR(MATCH(227,'Прайс и заказ'!$N$7:$N$244,0)+6,0)</f>
      </c>
      <c r="L235" t="str">
        <f>IF($J235=0,"",IF(INDEX('Прайс и заказ'!Q:Q,$J235)="","",INDEX('Прайс и заказ'!Q:Q,$J235)))</f>
      </c>
    </row>
    <row r="236" spans="1:12" customHeight="1" ht="40">
      <c r="A236" s="13" t="str">
        <f>IF($J236=0,"",IFERROR(_xlfn.IMAGE(INDEX('Прайс и заказ'!$O:$O,$J236)),""))</f>
      </c>
      <c r="B236" s="61" t="str">
        <f>IF($J236=0,"",IF(INDEX('Прайс и заказ'!B:B,$J236)="","",INDEX('Прайс и заказ'!B:B,$J236)))</f>
      </c>
      <c r="C236" s="64" t="str">
        <f>IF($J236=0,"",IF(INDEX('Прайс и заказ'!C:C,$J236)="","",INDEX('Прайс и заказ'!C:C,$J236)))</f>
      </c>
      <c r="D236" s="64" t="str">
        <f>IF($J236=0,"",IF(INDEX('Прайс и заказ'!D:D,$J236)="","",INDEX('Прайс и заказ'!D:D,$J236)))</f>
      </c>
      <c r="E236" s="61" t="str">
        <f>IF($J236=0,"",IF(INDEX('Прайс и заказ'!F:F,$J236)="","",INDEX('Прайс и заказ'!F:F,$J236)))</f>
      </c>
      <c r="F236" s="62" t="str">
        <f>IF($J236=0,"",IF(INDEX('Прайс и заказ'!I:I,$J236)="","",INDEX('Прайс и заказ'!I:I,$J236)))</f>
      </c>
      <c r="G236" s="63" t="str">
        <f>IF($J236=0,"",IF(INDEX('Прайс и заказ'!K:K,$J236)="","",INDEX('Прайс и заказ'!K:K,$J236)))</f>
      </c>
      <c r="H236" s="62" t="str">
        <f>IF($J236=0,"",IF(INDEX('Прайс и заказ'!L:L,$J236)="","",INDEX('Прайс и заказ'!L:L,$J236)))</f>
      </c>
      <c r="I236" s="13" t="str">
        <f>IF($J236=0,"",IF(INDEX('Прайс и заказ'!M:M,$J236)="","",INDEX('Прайс и заказ'!M:M,$J236)))</f>
      </c>
      <c r="J236" t="str">
        <f>IFERROR(MATCH(228,'Прайс и заказ'!$N$7:$N$244,0)+6,0)</f>
      </c>
      <c r="L236" t="str">
        <f>IF($J236=0,"",IF(INDEX('Прайс и заказ'!Q:Q,$J236)="","",INDEX('Прайс и заказ'!Q:Q,$J236)))</f>
      </c>
    </row>
    <row r="237" spans="1:12" customHeight="1" ht="40">
      <c r="A237" s="13" t="str">
        <f>IF($J237=0,"",IFERROR(_xlfn.IMAGE(INDEX('Прайс и заказ'!$O:$O,$J237)),""))</f>
      </c>
      <c r="B237" s="61" t="str">
        <f>IF($J237=0,"",IF(INDEX('Прайс и заказ'!B:B,$J237)="","",INDEX('Прайс и заказ'!B:B,$J237)))</f>
      </c>
      <c r="C237" s="64" t="str">
        <f>IF($J237=0,"",IF(INDEX('Прайс и заказ'!C:C,$J237)="","",INDEX('Прайс и заказ'!C:C,$J237)))</f>
      </c>
      <c r="D237" s="64" t="str">
        <f>IF($J237=0,"",IF(INDEX('Прайс и заказ'!D:D,$J237)="","",INDEX('Прайс и заказ'!D:D,$J237)))</f>
      </c>
      <c r="E237" s="61" t="str">
        <f>IF($J237=0,"",IF(INDEX('Прайс и заказ'!F:F,$J237)="","",INDEX('Прайс и заказ'!F:F,$J237)))</f>
      </c>
      <c r="F237" s="62" t="str">
        <f>IF($J237=0,"",IF(INDEX('Прайс и заказ'!I:I,$J237)="","",INDEX('Прайс и заказ'!I:I,$J237)))</f>
      </c>
      <c r="G237" s="63" t="str">
        <f>IF($J237=0,"",IF(INDEX('Прайс и заказ'!K:K,$J237)="","",INDEX('Прайс и заказ'!K:K,$J237)))</f>
      </c>
      <c r="H237" s="62" t="str">
        <f>IF($J237=0,"",IF(INDEX('Прайс и заказ'!L:L,$J237)="","",INDEX('Прайс и заказ'!L:L,$J237)))</f>
      </c>
      <c r="I237" s="13" t="str">
        <f>IF($J237=0,"",IF(INDEX('Прайс и заказ'!M:M,$J237)="","",INDEX('Прайс и заказ'!M:M,$J237)))</f>
      </c>
      <c r="J237" t="str">
        <f>IFERROR(MATCH(229,'Прайс и заказ'!$N$7:$N$244,0)+6,0)</f>
      </c>
      <c r="L237" t="str">
        <f>IF($J237=0,"",IF(INDEX('Прайс и заказ'!Q:Q,$J237)="","",INDEX('Прайс и заказ'!Q:Q,$J237)))</f>
      </c>
    </row>
    <row r="238" spans="1:12" customHeight="1" ht="40">
      <c r="A238" s="13" t="str">
        <f>IF($J238=0,"",IFERROR(_xlfn.IMAGE(INDEX('Прайс и заказ'!$O:$O,$J238)),""))</f>
      </c>
      <c r="B238" s="61" t="str">
        <f>IF($J238=0,"",IF(INDEX('Прайс и заказ'!B:B,$J238)="","",INDEX('Прайс и заказ'!B:B,$J238)))</f>
      </c>
      <c r="C238" s="64" t="str">
        <f>IF($J238=0,"",IF(INDEX('Прайс и заказ'!C:C,$J238)="","",INDEX('Прайс и заказ'!C:C,$J238)))</f>
      </c>
      <c r="D238" s="64" t="str">
        <f>IF($J238=0,"",IF(INDEX('Прайс и заказ'!D:D,$J238)="","",INDEX('Прайс и заказ'!D:D,$J238)))</f>
      </c>
      <c r="E238" s="61" t="str">
        <f>IF($J238=0,"",IF(INDEX('Прайс и заказ'!F:F,$J238)="","",INDEX('Прайс и заказ'!F:F,$J238)))</f>
      </c>
      <c r="F238" s="62" t="str">
        <f>IF($J238=0,"",IF(INDEX('Прайс и заказ'!I:I,$J238)="","",INDEX('Прайс и заказ'!I:I,$J238)))</f>
      </c>
      <c r="G238" s="63" t="str">
        <f>IF($J238=0,"",IF(INDEX('Прайс и заказ'!K:K,$J238)="","",INDEX('Прайс и заказ'!K:K,$J238)))</f>
      </c>
      <c r="H238" s="62" t="str">
        <f>IF($J238=0,"",IF(INDEX('Прайс и заказ'!L:L,$J238)="","",INDEX('Прайс и заказ'!L:L,$J238)))</f>
      </c>
      <c r="I238" s="13" t="str">
        <f>IF($J238=0,"",IF(INDEX('Прайс и заказ'!M:M,$J238)="","",INDEX('Прайс и заказ'!M:M,$J238)))</f>
      </c>
      <c r="J238" t="str">
        <f>IFERROR(MATCH(230,'Прайс и заказ'!$N$7:$N$244,0)+6,0)</f>
      </c>
      <c r="L238" t="str">
        <f>IF($J238=0,"",IF(INDEX('Прайс и заказ'!Q:Q,$J238)="","",INDEX('Прайс и заказ'!Q:Q,$J238)))</f>
      </c>
    </row>
    <row r="239" spans="1:12" customHeight="1" ht="40">
      <c r="A239" s="13" t="str">
        <f>IF($J239=0,"",IFERROR(_xlfn.IMAGE(INDEX('Прайс и заказ'!$O:$O,$J239)),""))</f>
      </c>
      <c r="B239" s="61" t="str">
        <f>IF($J239=0,"",IF(INDEX('Прайс и заказ'!B:B,$J239)="","",INDEX('Прайс и заказ'!B:B,$J239)))</f>
      </c>
      <c r="C239" s="64" t="str">
        <f>IF($J239=0,"",IF(INDEX('Прайс и заказ'!C:C,$J239)="","",INDEX('Прайс и заказ'!C:C,$J239)))</f>
      </c>
      <c r="D239" s="64" t="str">
        <f>IF($J239=0,"",IF(INDEX('Прайс и заказ'!D:D,$J239)="","",INDEX('Прайс и заказ'!D:D,$J239)))</f>
      </c>
      <c r="E239" s="61" t="str">
        <f>IF($J239=0,"",IF(INDEX('Прайс и заказ'!F:F,$J239)="","",INDEX('Прайс и заказ'!F:F,$J239)))</f>
      </c>
      <c r="F239" s="62" t="str">
        <f>IF($J239=0,"",IF(INDEX('Прайс и заказ'!I:I,$J239)="","",INDEX('Прайс и заказ'!I:I,$J239)))</f>
      </c>
      <c r="G239" s="63" t="str">
        <f>IF($J239=0,"",IF(INDEX('Прайс и заказ'!K:K,$J239)="","",INDEX('Прайс и заказ'!K:K,$J239)))</f>
      </c>
      <c r="H239" s="62" t="str">
        <f>IF($J239=0,"",IF(INDEX('Прайс и заказ'!L:L,$J239)="","",INDEX('Прайс и заказ'!L:L,$J239)))</f>
      </c>
      <c r="I239" s="13" t="str">
        <f>IF($J239=0,"",IF(INDEX('Прайс и заказ'!M:M,$J239)="","",INDEX('Прайс и заказ'!M:M,$J239)))</f>
      </c>
      <c r="J239" t="str">
        <f>IFERROR(MATCH(231,'Прайс и заказ'!$N$7:$N$244,0)+6,0)</f>
      </c>
      <c r="L239" t="str">
        <f>IF($J239=0,"",IF(INDEX('Прайс и заказ'!Q:Q,$J239)="","",INDEX('Прайс и заказ'!Q:Q,$J239)))</f>
      </c>
    </row>
    <row r="240" spans="1:12" customHeight="1" ht="40">
      <c r="A240" s="13" t="str">
        <f>IF($J240=0,"",IFERROR(_xlfn.IMAGE(INDEX('Прайс и заказ'!$O:$O,$J240)),""))</f>
      </c>
      <c r="B240" s="61" t="str">
        <f>IF($J240=0,"",IF(INDEX('Прайс и заказ'!B:B,$J240)="","",INDEX('Прайс и заказ'!B:B,$J240)))</f>
      </c>
      <c r="C240" s="64" t="str">
        <f>IF($J240=0,"",IF(INDEX('Прайс и заказ'!C:C,$J240)="","",INDEX('Прайс и заказ'!C:C,$J240)))</f>
      </c>
      <c r="D240" s="64" t="str">
        <f>IF($J240=0,"",IF(INDEX('Прайс и заказ'!D:D,$J240)="","",INDEX('Прайс и заказ'!D:D,$J240)))</f>
      </c>
      <c r="E240" s="61" t="str">
        <f>IF($J240=0,"",IF(INDEX('Прайс и заказ'!F:F,$J240)="","",INDEX('Прайс и заказ'!F:F,$J240)))</f>
      </c>
      <c r="F240" s="62" t="str">
        <f>IF($J240=0,"",IF(INDEX('Прайс и заказ'!I:I,$J240)="","",INDEX('Прайс и заказ'!I:I,$J240)))</f>
      </c>
      <c r="G240" s="63" t="str">
        <f>IF($J240=0,"",IF(INDEX('Прайс и заказ'!K:K,$J240)="","",INDEX('Прайс и заказ'!K:K,$J240)))</f>
      </c>
      <c r="H240" s="62" t="str">
        <f>IF($J240=0,"",IF(INDEX('Прайс и заказ'!L:L,$J240)="","",INDEX('Прайс и заказ'!L:L,$J240)))</f>
      </c>
      <c r="I240" s="13" t="str">
        <f>IF($J240=0,"",IF(INDEX('Прайс и заказ'!M:M,$J240)="","",INDEX('Прайс и заказ'!M:M,$J240)))</f>
      </c>
      <c r="J240" t="str">
        <f>IFERROR(MATCH(232,'Прайс и заказ'!$N$7:$N$244,0)+6,0)</f>
      </c>
      <c r="L240" t="str">
        <f>IF($J240=0,"",IF(INDEX('Прайс и заказ'!Q:Q,$J240)="","",INDEX('Прайс и заказ'!Q:Q,$J240)))</f>
      </c>
    </row>
    <row r="241" spans="1:12" customHeight="1" ht="40">
      <c r="A241" s="13" t="str">
        <f>IF($J241=0,"",IFERROR(_xlfn.IMAGE(INDEX('Прайс и заказ'!$O:$O,$J241)),""))</f>
      </c>
      <c r="B241" s="61" t="str">
        <f>IF($J241=0,"",IF(INDEX('Прайс и заказ'!B:B,$J241)="","",INDEX('Прайс и заказ'!B:B,$J241)))</f>
      </c>
      <c r="C241" s="64" t="str">
        <f>IF($J241=0,"",IF(INDEX('Прайс и заказ'!C:C,$J241)="","",INDEX('Прайс и заказ'!C:C,$J241)))</f>
      </c>
      <c r="D241" s="64" t="str">
        <f>IF($J241=0,"",IF(INDEX('Прайс и заказ'!D:D,$J241)="","",INDEX('Прайс и заказ'!D:D,$J241)))</f>
      </c>
      <c r="E241" s="61" t="str">
        <f>IF($J241=0,"",IF(INDEX('Прайс и заказ'!F:F,$J241)="","",INDEX('Прайс и заказ'!F:F,$J241)))</f>
      </c>
      <c r="F241" s="62" t="str">
        <f>IF($J241=0,"",IF(INDEX('Прайс и заказ'!I:I,$J241)="","",INDEX('Прайс и заказ'!I:I,$J241)))</f>
      </c>
      <c r="G241" s="63" t="str">
        <f>IF($J241=0,"",IF(INDEX('Прайс и заказ'!K:K,$J241)="","",INDEX('Прайс и заказ'!K:K,$J241)))</f>
      </c>
      <c r="H241" s="62" t="str">
        <f>IF($J241=0,"",IF(INDEX('Прайс и заказ'!L:L,$J241)="","",INDEX('Прайс и заказ'!L:L,$J241)))</f>
      </c>
      <c r="I241" s="13" t="str">
        <f>IF($J241=0,"",IF(INDEX('Прайс и заказ'!M:M,$J241)="","",INDEX('Прайс и заказ'!M:M,$J241)))</f>
      </c>
      <c r="J241" t="str">
        <f>IFERROR(MATCH(233,'Прайс и заказ'!$N$7:$N$244,0)+6,0)</f>
      </c>
      <c r="L241" t="str">
        <f>IF($J241=0,"",IF(INDEX('Прайс и заказ'!Q:Q,$J241)="","",INDEX('Прайс и заказ'!Q:Q,$J241)))</f>
      </c>
    </row>
    <row r="242" spans="1:12" customHeight="1" ht="40">
      <c r="A242" s="13" t="str">
        <f>IF($J242=0,"",IFERROR(_xlfn.IMAGE(INDEX('Прайс и заказ'!$O:$O,$J242)),""))</f>
      </c>
      <c r="B242" s="61" t="str">
        <f>IF($J242=0,"",IF(INDEX('Прайс и заказ'!B:B,$J242)="","",INDEX('Прайс и заказ'!B:B,$J242)))</f>
      </c>
      <c r="C242" s="64" t="str">
        <f>IF($J242=0,"",IF(INDEX('Прайс и заказ'!C:C,$J242)="","",INDEX('Прайс и заказ'!C:C,$J242)))</f>
      </c>
      <c r="D242" s="64" t="str">
        <f>IF($J242=0,"",IF(INDEX('Прайс и заказ'!D:D,$J242)="","",INDEX('Прайс и заказ'!D:D,$J242)))</f>
      </c>
      <c r="E242" s="61" t="str">
        <f>IF($J242=0,"",IF(INDEX('Прайс и заказ'!F:F,$J242)="","",INDEX('Прайс и заказ'!F:F,$J242)))</f>
      </c>
      <c r="F242" s="62" t="str">
        <f>IF($J242=0,"",IF(INDEX('Прайс и заказ'!I:I,$J242)="","",INDEX('Прайс и заказ'!I:I,$J242)))</f>
      </c>
      <c r="G242" s="63" t="str">
        <f>IF($J242=0,"",IF(INDEX('Прайс и заказ'!K:K,$J242)="","",INDEX('Прайс и заказ'!K:K,$J242)))</f>
      </c>
      <c r="H242" s="62" t="str">
        <f>IF($J242=0,"",IF(INDEX('Прайс и заказ'!L:L,$J242)="","",INDEX('Прайс и заказ'!L:L,$J242)))</f>
      </c>
      <c r="I242" s="13" t="str">
        <f>IF($J242=0,"",IF(INDEX('Прайс и заказ'!M:M,$J242)="","",INDEX('Прайс и заказ'!M:M,$J242)))</f>
      </c>
      <c r="J242" t="str">
        <f>IFERROR(MATCH(234,'Прайс и заказ'!$N$7:$N$244,0)+6,0)</f>
      </c>
      <c r="L242" t="str">
        <f>IF($J242=0,"",IF(INDEX('Прайс и заказ'!Q:Q,$J242)="","",INDEX('Прайс и заказ'!Q:Q,$J242)))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242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796</v>
      </c>
    </row>
    <row r="2" spans="1:6">
      <c r="A2" t="s">
        <v>797</v>
      </c>
    </row>
    <row r="3" spans="1:6">
      <c r="A3" t="s">
        <v>798</v>
      </c>
    </row>
    <row r="4" spans="1:6">
      <c r="A4" t="s">
        <v>799</v>
      </c>
    </row>
    <row r="5" spans="1:6">
      <c r="A5" t="s">
        <v>800</v>
      </c>
      <c r="B5" t="s">
        <v>801</v>
      </c>
      <c r="C5" t="s">
        <v>802</v>
      </c>
      <c r="D5" t="s">
        <v>803</v>
      </c>
    </row>
    <row r="6" spans="1:6">
      <c r="A6" t="s">
        <v>804</v>
      </c>
      <c r="B6" t="s">
        <v>805</v>
      </c>
      <c r="C6" t="s">
        <v>806</v>
      </c>
      <c r="D6" t="s">
        <v>807</v>
      </c>
      <c r="E6" t="s">
        <v>808</v>
      </c>
      <c r="F6" t="s">
        <v>809</v>
      </c>
    </row>
    <row r="7" spans="1:6">
      <c r="A7" t="s">
        <v>810</v>
      </c>
      <c r="B7">
        <v>6</v>
      </c>
      <c r="C7" t="s">
        <v>811</v>
      </c>
      <c r="D7" t="s">
        <v>812</v>
      </c>
      <c r="E7" t="s">
        <v>813</v>
      </c>
      <c r="F7" t="s">
        <v>814</v>
      </c>
    </row>
    <row r="8" spans="1:6">
      <c r="A8" t="s">
        <v>815</v>
      </c>
      <c r="B8">
        <v>8</v>
      </c>
      <c r="C8" t="s">
        <v>816</v>
      </c>
      <c r="D8" t="s">
        <v>817</v>
      </c>
      <c r="E8" t="s">
        <v>818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2026-10-01T19:39:18+04:00</dcterms:created>
  <dcterms:modified xsi:type="dcterms:W3CDTF">2026-10-01T19:39:18+04:00</dcterms:modified>
  <dc:title>Прайс-лист LavrPack — Сумочки и пакеты</dc:title>
  <dc:description>Сформировано на www.lavrpack.ru 01.10.2026 19:39</dc:description>
  <dc:subject/>
  <cp:keywords/>
  <cp:category/>
</cp:coreProperties>
</file>